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5600" windowHeight="718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masashi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E24" authorId="1">
      <text>
        <r>
          <rPr>
            <b/>
            <sz val="9"/>
            <rFont val="ＭＳ Ｐゴシック"/>
            <family val="3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<sst xmlns="http://schemas.openxmlformats.org/spreadsheetml/2006/main" count="275" uniqueCount="86">
  <si>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</si>
  <si>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</si>
  <si>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</si>
  <si>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</si>
  <si>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</si>
  <si>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</si>
  <si>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</si>
  <si>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</si>
  <si>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</si>
  <si>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</si>
  <si>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</si>
  <si>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</si>
  <si>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</si>
  <si>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</si>
  <si>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</si>
  <si>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</si>
  <si>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</si>
  <si>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</si>
  <si>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</si>
  <si>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</si>
  <si>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</si>
  <si>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</si>
  <si>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</si>
  <si>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</si>
  <si>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</si>
  <si>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</si>
  <si>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</si>
  <si>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</si>
  <si>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</si>
  <si>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</si>
  <si>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</si>
  <si>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</si>
  <si>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</si>
  <si>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</si>
  <si>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</si>
  <si>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</si>
  <si>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</si>
  <si>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</si>
  <si>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</si>
  <si>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</si>
  <si>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</si>
  <si>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</si>
  <si>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</si>
  <si>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</si>
  <si>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</si>
  <si>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</si>
  <si>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</si>
  <si>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</si>
  <si>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</si>
  <si>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</si>
  <si>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</si>
  <si>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</si>
  <si>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</si>
  <si>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</si>
  <si>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</si>
  <si>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</si>
  <si>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</si>
  <si>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</si>
  <si>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</si>
  <si>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</si>
  <si>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</si>
  <si>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</si>
  <si>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</si>
  <si>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</si>
  <si>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</si>
  <si>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</si>
  <si>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</si>
  <si>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</si>
  <si>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</si>
  <si>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</si>
  <si>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</si>
  <si>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</si>
  <si>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</si>
  <si>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</si>
  <si>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</si>
  <si>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</si>
  <si>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</si>
  <si>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</si>
  <si>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</si>
  <si>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</si>
  <si>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</si>
  <si>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</si>
  <si>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</si>
  <si>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</si>
  <si>
    <t>防御補正</t>
  </si>
  <si>
    <t>領土の防御補正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</si>
</sst>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5" fillId="0" borderId="68" xfId="0" applyNumberFormat="1" applyFont="1" applyFill="1" applyBorder="1" applyAlignment="1">
      <alignment vertical="center"/>
    </xf>
    <xf numFmtId="0" fontId="5" fillId="0" borderId="69" xfId="0" applyNumberFormat="1" applyFont="1" applyBorder="1" applyAlignment="1">
      <alignment vertical="center"/>
    </xf>
    <xf numFmtId="0" fontId="5" fillId="0" borderId="70" xfId="0" applyNumberFormat="1" applyFont="1" applyBorder="1" applyAlignment="1">
      <alignment vertical="center"/>
    </xf>
    <xf numFmtId="0" fontId="5" fillId="0" borderId="71" xfId="0" applyNumberFormat="1" applyFont="1" applyFill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NumberFormat="1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90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91" xfId="0" applyNumberFormat="1" applyFont="1" applyFill="1" applyBorder="1" applyAlignment="1">
      <alignment vertical="center" shrinkToFit="1"/>
    </xf>
    <xf numFmtId="0" fontId="6" fillId="0" borderId="92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 shrinkToFit="1"/>
    </xf>
    <xf numFmtId="0" fontId="6" fillId="0" borderId="95" xfId="0" applyNumberFormat="1" applyFont="1" applyBorder="1" applyAlignment="1">
      <alignment vertical="center" shrinkToFit="1"/>
    </xf>
    <xf numFmtId="0" fontId="6" fillId="0" borderId="96" xfId="0" applyNumberFormat="1" applyFont="1" applyBorder="1" applyAlignment="1">
      <alignment vertical="center" shrinkToFit="1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101" xfId="0" applyNumberFormat="1" applyFont="1" applyFill="1" applyBorder="1" applyAlignment="1">
      <alignment vertical="center"/>
    </xf>
    <xf numFmtId="0" fontId="4" fillId="0" borderId="102" xfId="0" applyNumberFormat="1" applyFont="1" applyFill="1" applyBorder="1" applyAlignment="1">
      <alignment vertical="center"/>
    </xf>
    <xf numFmtId="0" fontId="4" fillId="0" borderId="103" xfId="0" applyNumberFormat="1" applyFont="1" applyFill="1" applyBorder="1" applyAlignment="1">
      <alignment vertical="center"/>
    </xf>
    <xf numFmtId="0" fontId="4" fillId="0" borderId="71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9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10" xfId="0" applyNumberFormat="1" applyFont="1" applyFill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NumberFormat="1" applyFont="1" applyBorder="1" applyAlignment="1">
      <alignment vertical="center"/>
    </xf>
    <xf numFmtId="0" fontId="4" fillId="0" borderId="118" xfId="0" applyNumberFormat="1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0" fillId="0" borderId="118" xfId="0" applyNumberForma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3" xfId="0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horizontal="right" vertical="center"/>
    </xf>
    <xf numFmtId="180" fontId="4" fillId="0" borderId="125" xfId="0" applyNumberFormat="1" applyFont="1" applyBorder="1" applyAlignment="1">
      <alignment horizontal="right" vertical="center"/>
    </xf>
    <xf numFmtId="180" fontId="4" fillId="0" borderId="118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180" fontId="4" fillId="0" borderId="135" xfId="0" applyNumberFormat="1" applyFont="1" applyBorder="1" applyAlignment="1">
      <alignment vertical="center"/>
    </xf>
    <xf numFmtId="180" fontId="4" fillId="0" borderId="136" xfId="0" applyNumberFormat="1" applyFont="1" applyBorder="1" applyAlignment="1">
      <alignment vertical="center"/>
    </xf>
    <xf numFmtId="180" fontId="4" fillId="0" borderId="137" xfId="0" applyNumberFormat="1" applyFont="1" applyBorder="1" applyAlignment="1">
      <alignment vertical="center"/>
    </xf>
    <xf numFmtId="180" fontId="4" fillId="0" borderId="138" xfId="0" applyNumberFormat="1" applyFont="1" applyBorder="1" applyAlignment="1">
      <alignment vertical="center"/>
    </xf>
    <xf numFmtId="180" fontId="4" fillId="0" borderId="139" xfId="0" applyNumberFormat="1" applyFont="1" applyBorder="1" applyAlignment="1">
      <alignment vertical="center"/>
    </xf>
    <xf numFmtId="180" fontId="4" fillId="0" borderId="79" xfId="0" applyNumberFormat="1" applyFont="1" applyBorder="1" applyAlignment="1">
      <alignment vertical="center"/>
    </xf>
    <xf numFmtId="180" fontId="4" fillId="0" borderId="140" xfId="0" applyNumberFormat="1" applyFont="1" applyBorder="1" applyAlignment="1">
      <alignment vertical="center"/>
    </xf>
    <xf numFmtId="180" fontId="4" fillId="0" borderId="141" xfId="0" applyNumberFormat="1" applyFont="1" applyBorder="1" applyAlignment="1">
      <alignment vertical="center"/>
    </xf>
    <xf numFmtId="180" fontId="4" fillId="0" borderId="142" xfId="0" applyNumberFormat="1" applyFont="1" applyBorder="1" applyAlignment="1">
      <alignment vertical="center"/>
    </xf>
    <xf numFmtId="0" fontId="4" fillId="34" borderId="38" xfId="0" applyNumberFormat="1" applyFont="1" applyFill="1" applyBorder="1" applyAlignment="1">
      <alignment horizontal="center" vertical="center" shrinkToFit="1"/>
    </xf>
    <xf numFmtId="0" fontId="4" fillId="0" borderId="81" xfId="0" applyNumberFormat="1" applyFont="1" applyBorder="1" applyAlignment="1">
      <alignment horizontal="center" vertical="center"/>
    </xf>
    <xf numFmtId="0" fontId="4" fillId="0" borderId="143" xfId="0" applyFont="1" applyBorder="1" applyAlignment="1">
      <alignment vertical="center"/>
    </xf>
    <xf numFmtId="0" fontId="6" fillId="0" borderId="144" xfId="0" applyFont="1" applyBorder="1" applyAlignment="1">
      <alignment vertical="center"/>
    </xf>
    <xf numFmtId="0" fontId="4" fillId="0" borderId="97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0" fontId="4" fillId="0" borderId="147" xfId="0" applyFont="1" applyBorder="1" applyAlignment="1">
      <alignment vertical="center"/>
    </xf>
    <xf numFmtId="0" fontId="6" fillId="0" borderId="97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176" fontId="4" fillId="0" borderId="97" xfId="0" applyNumberFormat="1" applyFont="1" applyBorder="1" applyAlignment="1">
      <alignment vertical="center"/>
    </xf>
    <xf numFmtId="176" fontId="0" fillId="0" borderId="98" xfId="0" applyNumberForma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2" fillId="0" borderId="14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6" fillId="0" borderId="97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6" fillId="0" borderId="149" xfId="0" applyFont="1" applyBorder="1" applyAlignment="1">
      <alignment vertical="center"/>
    </xf>
    <xf numFmtId="0" fontId="6" fillId="0" borderId="150" xfId="0" applyFont="1" applyBorder="1" applyAlignment="1">
      <alignment vertical="center"/>
    </xf>
    <xf numFmtId="0" fontId="6" fillId="0" borderId="151" xfId="0" applyFont="1" applyBorder="1" applyAlignment="1">
      <alignment vertical="center"/>
    </xf>
    <xf numFmtId="0" fontId="6" fillId="0" borderId="152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0" fontId="0" fillId="0" borderId="155" xfId="0" applyBorder="1" applyAlignment="1">
      <alignment vertical="center"/>
    </xf>
    <xf numFmtId="0" fontId="6" fillId="0" borderId="149" xfId="0" applyNumberFormat="1" applyFont="1" applyBorder="1" applyAlignment="1">
      <alignment vertical="center"/>
    </xf>
    <xf numFmtId="0" fontId="0" fillId="0" borderId="150" xfId="0" applyBorder="1" applyAlignment="1">
      <alignment vertical="center"/>
    </xf>
    <xf numFmtId="0" fontId="12" fillId="0" borderId="15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49" xfId="0" applyNumberFormat="1" applyFont="1" applyFill="1" applyBorder="1" applyAlignment="1">
      <alignment vertical="center" shrinkToFit="1"/>
    </xf>
    <xf numFmtId="0" fontId="0" fillId="0" borderId="150" xfId="0" applyBorder="1" applyAlignment="1">
      <alignment vertical="center" shrinkToFit="1"/>
    </xf>
    <xf numFmtId="0" fontId="4" fillId="0" borderId="151" xfId="0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">
      <selection activeCell="E26" sqref="E26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219" t="s">
        <v>66</v>
      </c>
      <c r="C2" s="228"/>
    </row>
    <row r="3" spans="2:3" ht="12.75" customHeight="1" thickBot="1">
      <c r="B3" s="229"/>
      <c r="C3" s="230"/>
    </row>
    <row r="4" spans="2:3" ht="12.75" customHeight="1">
      <c r="B4" s="38"/>
      <c r="C4" s="38"/>
    </row>
    <row r="5" ht="12.75" customHeight="1" thickBot="1">
      <c r="E5" s="1"/>
    </row>
    <row r="6" spans="2:23" ht="12.75" customHeight="1" thickTop="1">
      <c r="B6" s="249" t="s">
        <v>52</v>
      </c>
      <c r="C6" s="250"/>
      <c r="D6" s="35"/>
      <c r="E6" s="24"/>
      <c r="F6" s="24"/>
      <c r="G6" s="23"/>
      <c r="H6" s="23"/>
      <c r="I6" s="24"/>
      <c r="J6" s="25"/>
      <c r="M6" s="219" t="s">
        <v>51</v>
      </c>
      <c r="N6" s="220"/>
      <c r="O6" s="11"/>
      <c r="P6" s="11"/>
      <c r="Q6" s="11"/>
      <c r="R6" s="11"/>
      <c r="S6" s="11"/>
      <c r="T6" s="11"/>
      <c r="U6" s="11"/>
      <c r="V6" s="78"/>
      <c r="W6" s="7"/>
    </row>
    <row r="7" spans="2:23" ht="12.75" customHeight="1" thickBot="1">
      <c r="B7" s="251"/>
      <c r="C7" s="252"/>
      <c r="D7" s="20"/>
      <c r="E7" s="26"/>
      <c r="F7" s="26"/>
      <c r="G7" s="258" t="s">
        <v>61</v>
      </c>
      <c r="H7" s="259"/>
      <c r="I7" s="259"/>
      <c r="J7" s="27"/>
      <c r="M7" s="221"/>
      <c r="N7" s="222"/>
      <c r="O7" s="7"/>
      <c r="P7" s="7"/>
      <c r="Q7" s="7"/>
      <c r="R7" s="7"/>
      <c r="S7" s="7"/>
      <c r="T7" s="7"/>
      <c r="U7" s="7"/>
      <c r="V7" s="75"/>
      <c r="W7" s="7"/>
    </row>
    <row r="8" spans="2:23" ht="12.75" customHeight="1" thickBot="1" thickTop="1">
      <c r="B8" s="36"/>
      <c r="C8" s="19"/>
      <c r="D8" s="20"/>
      <c r="E8" s="26"/>
      <c r="F8" s="26"/>
      <c r="G8" s="238" t="s">
        <v>44</v>
      </c>
      <c r="H8" s="236"/>
      <c r="I8" s="239"/>
      <c r="J8" s="27"/>
      <c r="M8" s="79"/>
      <c r="N8" s="22"/>
      <c r="O8" s="7"/>
      <c r="P8" s="7"/>
      <c r="Q8" s="7"/>
      <c r="R8" s="7"/>
      <c r="S8" s="7"/>
      <c r="T8" s="7"/>
      <c r="U8" s="7"/>
      <c r="V8" s="75"/>
      <c r="W8" s="7"/>
    </row>
    <row r="9" spans="2:23" ht="12.75" customHeight="1">
      <c r="B9" s="257" t="s">
        <v>38</v>
      </c>
      <c r="C9" s="217"/>
      <c r="D9" s="26"/>
      <c r="E9" s="26"/>
      <c r="F9" s="26"/>
      <c r="G9" s="253" t="s">
        <v>75</v>
      </c>
      <c r="H9" s="254"/>
      <c r="I9" s="12">
        <v>100</v>
      </c>
      <c r="J9" s="27"/>
      <c r="M9" s="100"/>
      <c r="N9" s="103" t="s">
        <v>0</v>
      </c>
      <c r="O9" s="8" t="s">
        <v>2</v>
      </c>
      <c r="P9" s="8" t="s">
        <v>3</v>
      </c>
      <c r="Q9" s="8" t="s">
        <v>4</v>
      </c>
      <c r="R9" s="8" t="s">
        <v>19</v>
      </c>
      <c r="S9" s="21" t="s">
        <v>50</v>
      </c>
      <c r="T9" s="104" t="s">
        <v>20</v>
      </c>
      <c r="U9" s="1"/>
      <c r="V9" s="80" t="s">
        <v>29</v>
      </c>
      <c r="W9" s="7"/>
    </row>
    <row r="10" spans="2:23" ht="12.75" customHeight="1" thickBot="1">
      <c r="B10" s="28"/>
      <c r="C10" s="26"/>
      <c r="D10" s="26"/>
      <c r="E10" s="26"/>
      <c r="F10" s="26"/>
      <c r="G10" s="212" t="s">
        <v>39</v>
      </c>
      <c r="H10" s="213"/>
      <c r="I10" s="5">
        <v>3371</v>
      </c>
      <c r="J10" s="27"/>
      <c r="M10" s="101" t="s">
        <v>31</v>
      </c>
      <c r="N10" s="179">
        <f>C12</f>
        <v>2000</v>
      </c>
      <c r="O10" s="180">
        <f>C13</f>
        <v>0</v>
      </c>
      <c r="P10" s="180">
        <f>C14</f>
        <v>0</v>
      </c>
      <c r="Q10" s="180">
        <f>C15</f>
        <v>0</v>
      </c>
      <c r="R10" s="180">
        <f>C16</f>
        <v>400</v>
      </c>
      <c r="S10" s="180">
        <f>C17</f>
        <v>400</v>
      </c>
      <c r="T10" s="181">
        <f>C18</f>
        <v>0</v>
      </c>
      <c r="U10" s="7"/>
      <c r="V10" s="197">
        <f>I9</f>
        <v>100</v>
      </c>
      <c r="W10" s="7"/>
    </row>
    <row r="11" spans="2:23" ht="12.75" customHeight="1" thickBot="1">
      <c r="B11" s="112" t="s">
        <v>26</v>
      </c>
      <c r="C11" s="113" t="s">
        <v>5</v>
      </c>
      <c r="D11" s="114" t="s">
        <v>36</v>
      </c>
      <c r="E11" s="115" t="s">
        <v>5</v>
      </c>
      <c r="F11" s="26"/>
      <c r="G11" s="212" t="s">
        <v>34</v>
      </c>
      <c r="H11" s="213"/>
      <c r="I11" s="37" t="s">
        <v>13</v>
      </c>
      <c r="J11" s="27"/>
      <c r="M11" s="101" t="s">
        <v>32</v>
      </c>
      <c r="N11" s="182">
        <f aca="true" t="shared" si="0" ref="N11:T11">IF($T$113&gt;=$Q$113,N10,N10*$U$113/100)</f>
        <v>760.2111240866537</v>
      </c>
      <c r="O11" s="183">
        <f t="shared" si="0"/>
        <v>0</v>
      </c>
      <c r="P11" s="183">
        <f t="shared" si="0"/>
        <v>0</v>
      </c>
      <c r="Q11" s="183">
        <f t="shared" si="0"/>
        <v>0</v>
      </c>
      <c r="R11" s="183">
        <f t="shared" si="0"/>
        <v>152.04222481733075</v>
      </c>
      <c r="S11" s="183">
        <f t="shared" si="0"/>
        <v>152.04222481733075</v>
      </c>
      <c r="T11" s="184">
        <f t="shared" si="0"/>
        <v>0</v>
      </c>
      <c r="U11" s="7"/>
      <c r="V11" s="197">
        <f>IF(Q113&gt;T113,U113*V10/100,100)</f>
        <v>38.01055620433269</v>
      </c>
      <c r="W11" s="7"/>
    </row>
    <row r="12" spans="2:23" ht="12.75" customHeight="1" thickBot="1">
      <c r="B12" s="116" t="s">
        <v>0</v>
      </c>
      <c r="C12" s="117">
        <v>2000</v>
      </c>
      <c r="D12" s="118" t="s">
        <v>0</v>
      </c>
      <c r="E12" s="119">
        <v>0</v>
      </c>
      <c r="F12" s="2"/>
      <c r="G12" s="255" t="s">
        <v>60</v>
      </c>
      <c r="H12" s="256"/>
      <c r="I12" s="13">
        <v>300</v>
      </c>
      <c r="J12" s="27"/>
      <c r="M12" s="102" t="s">
        <v>33</v>
      </c>
      <c r="N12" s="182">
        <f aca="true" t="shared" si="1" ref="N12:T12">N10-N11</f>
        <v>1239.7888759133461</v>
      </c>
      <c r="O12" s="183">
        <f t="shared" si="1"/>
        <v>0</v>
      </c>
      <c r="P12" s="183">
        <f t="shared" si="1"/>
        <v>0</v>
      </c>
      <c r="Q12" s="183">
        <f t="shared" si="1"/>
        <v>0</v>
      </c>
      <c r="R12" s="183">
        <f t="shared" si="1"/>
        <v>247.95777518266925</v>
      </c>
      <c r="S12" s="183">
        <f t="shared" si="1"/>
        <v>247.95777518266925</v>
      </c>
      <c r="T12" s="184">
        <f t="shared" si="1"/>
        <v>0</v>
      </c>
      <c r="U12" s="7"/>
      <c r="V12" s="198">
        <f>ROUNDUP(V10-V11,0)</f>
        <v>62</v>
      </c>
      <c r="W12" s="7"/>
    </row>
    <row r="13" spans="2:23" ht="12.75" customHeight="1" thickBot="1">
      <c r="B13" s="116" t="s">
        <v>2</v>
      </c>
      <c r="C13" s="117"/>
      <c r="D13" s="118" t="s">
        <v>2</v>
      </c>
      <c r="E13" s="119">
        <v>0</v>
      </c>
      <c r="F13" s="2"/>
      <c r="G13" s="235" t="s">
        <v>43</v>
      </c>
      <c r="H13" s="236"/>
      <c r="I13" s="236"/>
      <c r="J13" s="237"/>
      <c r="M13" s="81"/>
      <c r="N13" s="7"/>
      <c r="O13" s="7"/>
      <c r="P13" s="7"/>
      <c r="Q13" s="7"/>
      <c r="R13" s="7"/>
      <c r="S13" s="7"/>
      <c r="T13" s="7"/>
      <c r="U13" s="7"/>
      <c r="V13" s="75"/>
      <c r="W13" s="7"/>
    </row>
    <row r="14" spans="2:23" ht="12.75" customHeight="1">
      <c r="B14" s="116" t="s">
        <v>3</v>
      </c>
      <c r="C14" s="117">
        <v>0</v>
      </c>
      <c r="D14" s="118" t="s">
        <v>3</v>
      </c>
      <c r="E14" s="119">
        <v>0</v>
      </c>
      <c r="F14" s="2"/>
      <c r="G14" s="231" t="s">
        <v>1</v>
      </c>
      <c r="H14" s="232"/>
      <c r="I14" s="12"/>
      <c r="J14" s="27"/>
      <c r="M14" s="82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19</v>
      </c>
      <c r="S14" s="10" t="s">
        <v>50</v>
      </c>
      <c r="T14" s="10" t="s">
        <v>20</v>
      </c>
      <c r="U14" s="10" t="s">
        <v>8</v>
      </c>
      <c r="V14" s="83" t="s">
        <v>21</v>
      </c>
      <c r="W14" s="1"/>
    </row>
    <row r="15" spans="2:23" ht="12.75" customHeight="1">
      <c r="B15" s="116" t="s">
        <v>4</v>
      </c>
      <c r="C15" s="117">
        <v>0</v>
      </c>
      <c r="D15" s="118" t="s">
        <v>4</v>
      </c>
      <c r="E15" s="119">
        <v>0</v>
      </c>
      <c r="F15" s="2"/>
      <c r="G15" s="206" t="s">
        <v>41</v>
      </c>
      <c r="H15" s="207"/>
      <c r="I15" s="5">
        <v>0.38</v>
      </c>
      <c r="J15" s="27"/>
      <c r="M15" s="84" t="s">
        <v>31</v>
      </c>
      <c r="N15" s="173">
        <f>E12</f>
        <v>0</v>
      </c>
      <c r="O15" s="173">
        <f>E13</f>
        <v>0</v>
      </c>
      <c r="P15" s="173">
        <f>E14</f>
        <v>0</v>
      </c>
      <c r="Q15" s="173">
        <f>E15</f>
        <v>0</v>
      </c>
      <c r="R15" s="173">
        <f>E16</f>
        <v>329</v>
      </c>
      <c r="S15" s="173">
        <f>E17</f>
        <v>138</v>
      </c>
      <c r="T15" s="173">
        <f>E18</f>
        <v>329</v>
      </c>
      <c r="U15" s="173">
        <f>E19</f>
        <v>0</v>
      </c>
      <c r="V15" s="174">
        <f>E20</f>
        <v>0</v>
      </c>
      <c r="W15" s="7"/>
    </row>
    <row r="16" spans="2:23" ht="12.75" customHeight="1" thickBot="1">
      <c r="B16" s="116" t="s">
        <v>19</v>
      </c>
      <c r="C16" s="117">
        <v>400</v>
      </c>
      <c r="D16" s="118" t="s">
        <v>76</v>
      </c>
      <c r="E16" s="119">
        <v>329</v>
      </c>
      <c r="F16" s="2"/>
      <c r="G16" s="206" t="s">
        <v>40</v>
      </c>
      <c r="H16" s="207"/>
      <c r="I16" s="5"/>
      <c r="J16" s="27"/>
      <c r="M16" s="84" t="s">
        <v>32</v>
      </c>
      <c r="N16" s="175">
        <f aca="true" t="shared" si="2" ref="N16:V16">IF($Q$113&gt;=$T$113,N15,N15*$U$113/100)</f>
        <v>0</v>
      </c>
      <c r="O16" s="175">
        <f t="shared" si="2"/>
        <v>0</v>
      </c>
      <c r="P16" s="175">
        <f t="shared" si="2"/>
        <v>0</v>
      </c>
      <c r="Q16" s="175">
        <f t="shared" si="2"/>
        <v>0</v>
      </c>
      <c r="R16" s="175">
        <f t="shared" si="2"/>
        <v>329</v>
      </c>
      <c r="S16" s="175">
        <f t="shared" si="2"/>
        <v>138</v>
      </c>
      <c r="T16" s="175">
        <f t="shared" si="2"/>
        <v>329</v>
      </c>
      <c r="U16" s="175">
        <f t="shared" si="2"/>
        <v>0</v>
      </c>
      <c r="V16" s="176">
        <f t="shared" si="2"/>
        <v>0</v>
      </c>
      <c r="W16" s="7"/>
    </row>
    <row r="17" spans="2:23" ht="12.75" customHeight="1" thickBot="1">
      <c r="B17" s="120" t="s">
        <v>50</v>
      </c>
      <c r="C17" s="117">
        <v>400</v>
      </c>
      <c r="D17" s="121" t="s">
        <v>77</v>
      </c>
      <c r="E17" s="119">
        <v>138</v>
      </c>
      <c r="F17" s="2"/>
      <c r="G17" s="206" t="s">
        <v>2</v>
      </c>
      <c r="H17" s="207"/>
      <c r="I17" s="5"/>
      <c r="J17" s="27"/>
      <c r="M17" s="85" t="s">
        <v>33</v>
      </c>
      <c r="N17" s="177">
        <f aca="true" t="shared" si="3" ref="N17:V17">N15-N16</f>
        <v>0</v>
      </c>
      <c r="O17" s="177">
        <f t="shared" si="3"/>
        <v>0</v>
      </c>
      <c r="P17" s="177">
        <f t="shared" si="3"/>
        <v>0</v>
      </c>
      <c r="Q17" s="177">
        <f t="shared" si="3"/>
        <v>0</v>
      </c>
      <c r="R17" s="177">
        <f t="shared" si="3"/>
        <v>0</v>
      </c>
      <c r="S17" s="177">
        <f t="shared" si="3"/>
        <v>0</v>
      </c>
      <c r="T17" s="177">
        <f t="shared" si="3"/>
        <v>0</v>
      </c>
      <c r="U17" s="177">
        <f t="shared" si="3"/>
        <v>0</v>
      </c>
      <c r="V17" s="178">
        <f t="shared" si="3"/>
        <v>0</v>
      </c>
      <c r="W17" s="7"/>
    </row>
    <row r="18" spans="2:23" ht="12.75" customHeight="1">
      <c r="B18" s="116" t="s">
        <v>20</v>
      </c>
      <c r="C18" s="117">
        <v>0</v>
      </c>
      <c r="D18" s="118" t="s">
        <v>78</v>
      </c>
      <c r="E18" s="119">
        <v>329</v>
      </c>
      <c r="F18" s="2"/>
      <c r="G18" s="206" t="s">
        <v>3</v>
      </c>
      <c r="H18" s="207"/>
      <c r="I18" s="5"/>
      <c r="J18" s="27"/>
      <c r="M18" s="81"/>
      <c r="N18" s="7"/>
      <c r="O18" s="7"/>
      <c r="P18" s="7"/>
      <c r="Q18" s="7"/>
      <c r="R18" s="7"/>
      <c r="S18" s="7"/>
      <c r="T18" s="7"/>
      <c r="U18" s="7"/>
      <c r="V18" s="75"/>
      <c r="W18" s="7"/>
    </row>
    <row r="19" spans="2:23" ht="12.75" customHeight="1" thickBot="1">
      <c r="B19" s="122"/>
      <c r="C19" s="123">
        <v>0</v>
      </c>
      <c r="D19" s="118" t="s">
        <v>8</v>
      </c>
      <c r="E19" s="119">
        <v>0</v>
      </c>
      <c r="F19" s="2"/>
      <c r="G19" s="233" t="s">
        <v>4</v>
      </c>
      <c r="H19" s="234"/>
      <c r="I19" s="13"/>
      <c r="J19" s="27"/>
      <c r="M19" s="81"/>
      <c r="N19" s="7"/>
      <c r="O19" s="7"/>
      <c r="P19" s="7"/>
      <c r="Q19" s="7"/>
      <c r="R19" s="7"/>
      <c r="S19" s="7"/>
      <c r="T19" s="7"/>
      <c r="U19" s="7"/>
      <c r="V19" s="75"/>
      <c r="W19" s="7"/>
    </row>
    <row r="20" spans="2:23" ht="12.75" customHeight="1" thickBot="1">
      <c r="B20" s="122"/>
      <c r="C20" s="123">
        <v>0</v>
      </c>
      <c r="D20" s="118" t="s">
        <v>16</v>
      </c>
      <c r="E20" s="119"/>
      <c r="F20" s="2"/>
      <c r="G20" s="17" t="s">
        <v>42</v>
      </c>
      <c r="H20" s="18"/>
      <c r="I20" s="124"/>
      <c r="J20" s="30"/>
      <c r="M20" s="81"/>
      <c r="N20" s="208" t="s">
        <v>59</v>
      </c>
      <c r="O20" s="209"/>
      <c r="P20" s="214">
        <f>((N16+U16)*1+(SUM(O16:Q16)+V16)*2+SUM(R16:T16)*4)*I12/100</f>
        <v>9552</v>
      </c>
      <c r="Q20" s="215"/>
      <c r="R20" s="7"/>
      <c r="S20" s="7"/>
      <c r="T20" s="7"/>
      <c r="U20" s="7"/>
      <c r="V20" s="75"/>
      <c r="W20" s="7"/>
    </row>
    <row r="21" spans="2:23" ht="12.75" customHeight="1" thickBot="1">
      <c r="B21" s="125" t="s">
        <v>9</v>
      </c>
      <c r="C21" s="126"/>
      <c r="D21" s="127" t="s">
        <v>9</v>
      </c>
      <c r="E21" s="128"/>
      <c r="F21" s="2"/>
      <c r="G21" s="247" t="s">
        <v>45</v>
      </c>
      <c r="H21" s="248"/>
      <c r="I21" s="74">
        <v>0.105</v>
      </c>
      <c r="J21" s="27"/>
      <c r="M21" s="86"/>
      <c r="N21" s="76"/>
      <c r="O21" s="76"/>
      <c r="P21" s="76"/>
      <c r="Q21" s="76"/>
      <c r="R21" s="76"/>
      <c r="S21" s="76"/>
      <c r="T21" s="76"/>
      <c r="U21" s="76"/>
      <c r="V21" s="77"/>
      <c r="W21" s="7"/>
    </row>
    <row r="22" spans="2:22" ht="12.75" customHeight="1" thickBot="1">
      <c r="B22" s="39"/>
      <c r="C22" s="2"/>
      <c r="D22" s="2"/>
      <c r="E22" s="2"/>
      <c r="F22" s="2"/>
      <c r="G22" s="212" t="s">
        <v>46</v>
      </c>
      <c r="H22" s="213"/>
      <c r="I22" s="5">
        <v>2.35</v>
      </c>
      <c r="J22" s="27"/>
      <c r="M22" s="219" t="s">
        <v>73</v>
      </c>
      <c r="N22" s="220"/>
      <c r="O22" s="11"/>
      <c r="P22" s="11"/>
      <c r="Q22" s="11"/>
      <c r="R22" s="11"/>
      <c r="S22" s="11"/>
      <c r="T22" s="11"/>
      <c r="U22" s="11"/>
      <c r="V22" s="78"/>
    </row>
    <row r="23" spans="2:22" ht="12.75" customHeight="1" thickBot="1">
      <c r="B23" s="216"/>
      <c r="C23" s="217"/>
      <c r="D23" s="210" t="s">
        <v>85</v>
      </c>
      <c r="E23" s="211"/>
      <c r="F23" s="2"/>
      <c r="G23" s="212" t="s">
        <v>47</v>
      </c>
      <c r="H23" s="213"/>
      <c r="I23" s="5">
        <v>1</v>
      </c>
      <c r="J23" s="27"/>
      <c r="M23" s="221"/>
      <c r="N23" s="222"/>
      <c r="O23" s="7"/>
      <c r="P23" s="7"/>
      <c r="Q23" s="7"/>
      <c r="R23" s="7"/>
      <c r="S23" s="7"/>
      <c r="T23" s="7"/>
      <c r="U23" s="7"/>
      <c r="V23" s="75"/>
    </row>
    <row r="24" spans="2:22" ht="12.75" customHeight="1" thickBot="1">
      <c r="B24" s="29"/>
      <c r="C24" s="7"/>
      <c r="D24" s="201" t="s">
        <v>84</v>
      </c>
      <c r="E24" s="202">
        <v>1</v>
      </c>
      <c r="F24" s="26"/>
      <c r="G24" s="206" t="s">
        <v>48</v>
      </c>
      <c r="H24" s="207"/>
      <c r="I24" s="5">
        <v>1</v>
      </c>
      <c r="J24" s="27"/>
      <c r="M24" s="81"/>
      <c r="N24" s="7"/>
      <c r="O24" s="7"/>
      <c r="P24" s="7"/>
      <c r="Q24" s="7"/>
      <c r="R24" s="7"/>
      <c r="S24" s="7"/>
      <c r="T24" s="7"/>
      <c r="U24" s="7"/>
      <c r="V24" s="75"/>
    </row>
    <row r="25" spans="2:22" ht="12.75" customHeight="1" thickBot="1">
      <c r="B25" s="72"/>
      <c r="C25" s="1"/>
      <c r="D25" s="26"/>
      <c r="E25" s="26"/>
      <c r="F25" s="26"/>
      <c r="G25" s="206" t="s">
        <v>49</v>
      </c>
      <c r="H25" s="207"/>
      <c r="I25" s="5">
        <v>1</v>
      </c>
      <c r="J25" s="27"/>
      <c r="M25" s="109"/>
      <c r="N25" s="105" t="s">
        <v>0</v>
      </c>
      <c r="O25" s="106" t="s">
        <v>2</v>
      </c>
      <c r="P25" s="106" t="s">
        <v>3</v>
      </c>
      <c r="Q25" s="106" t="s">
        <v>4</v>
      </c>
      <c r="R25" s="106" t="s">
        <v>19</v>
      </c>
      <c r="S25" s="107" t="s">
        <v>50</v>
      </c>
      <c r="T25" s="108" t="s">
        <v>20</v>
      </c>
      <c r="U25" s="200" t="s">
        <v>83</v>
      </c>
      <c r="V25" s="75"/>
    </row>
    <row r="26" spans="2:22" ht="12.75" customHeight="1">
      <c r="B26" s="29"/>
      <c r="C26" s="26"/>
      <c r="D26" s="26"/>
      <c r="E26" s="26"/>
      <c r="F26" s="26"/>
      <c r="G26" s="129" t="s">
        <v>62</v>
      </c>
      <c r="H26" s="130"/>
      <c r="I26" s="5">
        <v>1.04</v>
      </c>
      <c r="J26" s="27"/>
      <c r="M26" s="110" t="s">
        <v>69</v>
      </c>
      <c r="N26" s="185">
        <f aca="true" t="shared" si="4" ref="N26:T29">N142*N$11</f>
        <v>7602.111240866538</v>
      </c>
      <c r="O26" s="186">
        <f t="shared" si="4"/>
        <v>0</v>
      </c>
      <c r="P26" s="186">
        <f t="shared" si="4"/>
        <v>0</v>
      </c>
      <c r="Q26" s="186">
        <f t="shared" si="4"/>
        <v>0</v>
      </c>
      <c r="R26" s="186">
        <f t="shared" si="4"/>
        <v>40139.14735177532</v>
      </c>
      <c r="S26" s="186">
        <f t="shared" si="4"/>
        <v>65682.24112108689</v>
      </c>
      <c r="T26" s="187">
        <f t="shared" si="4"/>
        <v>0</v>
      </c>
      <c r="U26" s="187">
        <f>SUM(N26:T26)</f>
        <v>113423.49971372874</v>
      </c>
      <c r="V26" s="75"/>
    </row>
    <row r="27" spans="2:22" ht="12.75" customHeight="1">
      <c r="B27" s="29"/>
      <c r="C27" s="26"/>
      <c r="D27" s="26"/>
      <c r="E27" s="26"/>
      <c r="F27" s="26"/>
      <c r="G27" s="129" t="s">
        <v>63</v>
      </c>
      <c r="H27" s="130"/>
      <c r="I27" s="5">
        <v>1.12</v>
      </c>
      <c r="J27" s="27"/>
      <c r="M27" s="110" t="s">
        <v>70</v>
      </c>
      <c r="N27" s="188">
        <f t="shared" si="4"/>
        <v>0</v>
      </c>
      <c r="O27" s="189">
        <f t="shared" si="4"/>
        <v>0</v>
      </c>
      <c r="P27" s="189">
        <f t="shared" si="4"/>
        <v>0</v>
      </c>
      <c r="Q27" s="189">
        <f t="shared" si="4"/>
        <v>0</v>
      </c>
      <c r="R27" s="189">
        <f t="shared" si="4"/>
        <v>60208.72102766298</v>
      </c>
      <c r="S27" s="189">
        <f t="shared" si="4"/>
        <v>0</v>
      </c>
      <c r="T27" s="190">
        <f t="shared" si="4"/>
        <v>0</v>
      </c>
      <c r="U27" s="187">
        <f>SUM(N27:T27)</f>
        <v>60208.72102766298</v>
      </c>
      <c r="V27" s="75"/>
    </row>
    <row r="28" spans="2:22" ht="12.75" customHeight="1">
      <c r="B28" s="29"/>
      <c r="C28" s="26"/>
      <c r="D28" s="26"/>
      <c r="E28" s="26"/>
      <c r="F28" s="26"/>
      <c r="G28" s="129" t="s">
        <v>64</v>
      </c>
      <c r="H28" s="130"/>
      <c r="I28" s="5">
        <v>1</v>
      </c>
      <c r="J28" s="27"/>
      <c r="M28" s="110" t="s">
        <v>71</v>
      </c>
      <c r="N28" s="188">
        <f t="shared" si="4"/>
        <v>7602.111240866538</v>
      </c>
      <c r="O28" s="189">
        <f t="shared" si="4"/>
        <v>0</v>
      </c>
      <c r="P28" s="189">
        <f t="shared" si="4"/>
        <v>0</v>
      </c>
      <c r="Q28" s="189">
        <f t="shared" si="4"/>
        <v>0</v>
      </c>
      <c r="R28" s="189">
        <f t="shared" si="4"/>
        <v>0</v>
      </c>
      <c r="S28" s="189">
        <f t="shared" si="4"/>
        <v>43788.16074739126</v>
      </c>
      <c r="T28" s="190">
        <f t="shared" si="4"/>
        <v>0</v>
      </c>
      <c r="U28" s="187">
        <f>SUM(N28:T28)</f>
        <v>51390.271988257795</v>
      </c>
      <c r="V28" s="75"/>
    </row>
    <row r="29" spans="2:22" ht="12.75" customHeight="1" thickBot="1">
      <c r="B29" s="31"/>
      <c r="C29" s="32"/>
      <c r="D29" s="32"/>
      <c r="E29" s="32"/>
      <c r="F29" s="32"/>
      <c r="G29" s="32"/>
      <c r="H29" s="32"/>
      <c r="I29" s="33"/>
      <c r="J29" s="34"/>
      <c r="M29" s="110" t="s">
        <v>72</v>
      </c>
      <c r="N29" s="191">
        <f t="shared" si="4"/>
        <v>45612.66744519922</v>
      </c>
      <c r="O29" s="192">
        <f t="shared" si="4"/>
        <v>0</v>
      </c>
      <c r="P29" s="192">
        <f t="shared" si="4"/>
        <v>0</v>
      </c>
      <c r="Q29" s="192">
        <f t="shared" si="4"/>
        <v>0</v>
      </c>
      <c r="R29" s="192">
        <f t="shared" si="4"/>
        <v>9122.533489039844</v>
      </c>
      <c r="S29" s="192">
        <f t="shared" si="4"/>
        <v>15964.433605819728</v>
      </c>
      <c r="T29" s="193">
        <f t="shared" si="4"/>
        <v>0</v>
      </c>
      <c r="U29" s="187">
        <f>SUM(N29:T29)</f>
        <v>70699.63454005879</v>
      </c>
      <c r="V29" s="75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109" t="s">
        <v>18</v>
      </c>
      <c r="N30" s="194">
        <f>SUM(N26:N29)</f>
        <v>60816.8899269323</v>
      </c>
      <c r="O30" s="195">
        <f aca="true" t="shared" si="5" ref="O30:T30">SUM(O26:O29)</f>
        <v>0</v>
      </c>
      <c r="P30" s="195">
        <f t="shared" si="5"/>
        <v>0</v>
      </c>
      <c r="Q30" s="195">
        <f t="shared" si="5"/>
        <v>0</v>
      </c>
      <c r="R30" s="195">
        <f t="shared" si="5"/>
        <v>109470.40186847813</v>
      </c>
      <c r="S30" s="195">
        <f t="shared" si="5"/>
        <v>125434.83547429787</v>
      </c>
      <c r="T30" s="196">
        <f t="shared" si="5"/>
        <v>0</v>
      </c>
      <c r="U30" s="196">
        <f>SUM(U26:U29)</f>
        <v>295722.1272697083</v>
      </c>
      <c r="V30" s="75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81"/>
      <c r="N31" s="7"/>
      <c r="O31" s="7"/>
      <c r="P31" s="7"/>
      <c r="Q31" s="7"/>
      <c r="R31" s="7"/>
      <c r="S31" s="7"/>
      <c r="T31" s="7"/>
      <c r="U31" s="7"/>
      <c r="V31" s="75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81"/>
      <c r="N32" s="223" t="s">
        <v>74</v>
      </c>
      <c r="O32" s="223"/>
      <c r="P32" s="224">
        <f>SUM(N30:T30)</f>
        <v>295722.1272697083</v>
      </c>
      <c r="Q32" s="224"/>
      <c r="R32" s="7"/>
      <c r="S32" s="7"/>
      <c r="T32" s="7"/>
      <c r="U32" s="7"/>
      <c r="V32" s="75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6"/>
      <c r="N33" s="76"/>
      <c r="O33" s="76"/>
      <c r="P33" s="76"/>
      <c r="Q33" s="76"/>
      <c r="R33" s="76"/>
      <c r="S33" s="76"/>
      <c r="T33" s="76"/>
      <c r="U33" s="76"/>
      <c r="V33" s="77"/>
    </row>
    <row r="34" spans="2:15" ht="12.75" customHeight="1">
      <c r="B34" s="225" t="s">
        <v>55</v>
      </c>
      <c r="C34" s="226"/>
      <c r="D34" s="227"/>
      <c r="E34" s="26"/>
      <c r="F34" s="26"/>
      <c r="G34" s="26"/>
      <c r="H34" s="26"/>
      <c r="I34" s="7"/>
      <c r="J34" s="7"/>
      <c r="M34" s="138" t="s">
        <v>54</v>
      </c>
      <c r="N34" s="139"/>
      <c r="O34" s="140"/>
    </row>
    <row r="35" spans="7:21" ht="12.75" customHeight="1" thickBot="1">
      <c r="G35" s="142"/>
      <c r="H35" s="142"/>
      <c r="J35" s="7"/>
      <c r="M35" s="240"/>
      <c r="N35" s="240"/>
      <c r="O35" s="240"/>
      <c r="P35" s="240"/>
      <c r="Q35" s="240"/>
      <c r="R35" s="240"/>
      <c r="S35" s="240"/>
      <c r="T35" s="240"/>
      <c r="U35" s="240"/>
    </row>
    <row r="36" spans="2:21" ht="12.75" customHeight="1" thickBot="1">
      <c r="B36" s="161" t="s">
        <v>6</v>
      </c>
      <c r="C36" s="12" t="s">
        <v>0</v>
      </c>
      <c r="D36" s="12" t="s">
        <v>2</v>
      </c>
      <c r="E36" s="12" t="s">
        <v>3</v>
      </c>
      <c r="F36" s="162" t="s">
        <v>4</v>
      </c>
      <c r="J36" s="7"/>
      <c r="M36" s="199" t="s">
        <v>0</v>
      </c>
      <c r="N36" s="91" t="s">
        <v>65</v>
      </c>
      <c r="O36" s="91" t="s">
        <v>37</v>
      </c>
      <c r="P36" s="92" t="s">
        <v>22</v>
      </c>
      <c r="Q36" s="92" t="s">
        <v>53</v>
      </c>
      <c r="R36" s="92" t="s">
        <v>27</v>
      </c>
      <c r="S36" s="92" t="s">
        <v>28</v>
      </c>
      <c r="T36" s="93" t="s">
        <v>17</v>
      </c>
      <c r="U36" s="94"/>
    </row>
    <row r="37" spans="2:21" ht="12.75" customHeight="1">
      <c r="B37" s="163">
        <f>I10</f>
        <v>3371</v>
      </c>
      <c r="C37" s="5">
        <v>15</v>
      </c>
      <c r="D37" s="5">
        <v>40</v>
      </c>
      <c r="E37" s="5">
        <v>42</v>
      </c>
      <c r="F37" s="164">
        <v>44</v>
      </c>
      <c r="M37" s="90" t="s">
        <v>12</v>
      </c>
      <c r="N37" s="54">
        <f aca="true" t="shared" si="6" ref="N37:N45">$C$12*I46</f>
        <v>0</v>
      </c>
      <c r="O37" s="54">
        <f aca="true" t="shared" si="7" ref="O37:O45">$C$46*I46</f>
        <v>0</v>
      </c>
      <c r="P37" s="55">
        <f aca="true" t="shared" si="8" ref="P37:P46">$D$46*I46</f>
        <v>0</v>
      </c>
      <c r="Q37" s="55">
        <f aca="true" t="shared" si="9" ref="Q37:Q46">O37+P37</f>
        <v>0</v>
      </c>
      <c r="R37" s="43">
        <f>15</f>
        <v>15</v>
      </c>
      <c r="S37" s="44">
        <f aca="true" t="shared" si="10" ref="S37:S45">H46*$E$46</f>
        <v>0</v>
      </c>
      <c r="T37" s="57">
        <f aca="true" t="shared" si="11" ref="T37:T45">R37*S37*$E$24</f>
        <v>0</v>
      </c>
      <c r="U37" s="89">
        <f aca="true" t="shared" si="12" ref="U37:U46">IF(T37&lt;=Q37,0,100*(T37/Q37)^(3/2))+IF(T37&gt;=Q37,0,100*(Q37/T37)^(3/2))</f>
        <v>0</v>
      </c>
    </row>
    <row r="38" spans="2:21" ht="12.75" customHeight="1">
      <c r="B38" s="165">
        <f>I10*(1+I14)*I9/100</f>
        <v>3371</v>
      </c>
      <c r="C38" s="166">
        <f>C37*($I$21+I22+I16+$I$15)</f>
        <v>42.525</v>
      </c>
      <c r="D38" s="166">
        <f>D37*($I$21+I23+I17+$I$15)</f>
        <v>59.39999999999999</v>
      </c>
      <c r="E38" s="166">
        <f>E37*($I$21+I24+I18+$I$15)</f>
        <v>62.37</v>
      </c>
      <c r="F38" s="167">
        <f>F37*($I$21+I25+I19+$I$15)</f>
        <v>65.33999999999999</v>
      </c>
      <c r="M38" s="45" t="s">
        <v>13</v>
      </c>
      <c r="N38" s="46">
        <f t="shared" si="6"/>
        <v>0</v>
      </c>
      <c r="O38" s="46">
        <f t="shared" si="7"/>
        <v>0</v>
      </c>
      <c r="P38" s="47">
        <f t="shared" si="8"/>
        <v>0</v>
      </c>
      <c r="Q38" s="47">
        <f t="shared" si="9"/>
        <v>0</v>
      </c>
      <c r="R38" s="48">
        <v>50</v>
      </c>
      <c r="S38" s="49">
        <f t="shared" si="10"/>
        <v>0</v>
      </c>
      <c r="T38" s="57">
        <f t="shared" si="11"/>
        <v>0</v>
      </c>
      <c r="U38" s="89">
        <f t="shared" si="12"/>
        <v>0</v>
      </c>
    </row>
    <row r="39" spans="2:21" ht="12.75" customHeight="1">
      <c r="B39" s="163"/>
      <c r="C39" s="5"/>
      <c r="D39" s="5" t="s">
        <v>76</v>
      </c>
      <c r="E39" s="143" t="s">
        <v>80</v>
      </c>
      <c r="F39" s="73" t="s">
        <v>78</v>
      </c>
      <c r="M39" s="45" t="s">
        <v>14</v>
      </c>
      <c r="N39" s="46">
        <f t="shared" si="6"/>
        <v>0</v>
      </c>
      <c r="O39" s="46">
        <f t="shared" si="7"/>
        <v>0</v>
      </c>
      <c r="P39" s="47">
        <f t="shared" si="8"/>
        <v>0</v>
      </c>
      <c r="Q39" s="47">
        <f t="shared" si="9"/>
        <v>0</v>
      </c>
      <c r="R39" s="48">
        <v>52</v>
      </c>
      <c r="S39" s="49">
        <f t="shared" si="10"/>
        <v>0</v>
      </c>
      <c r="T39" s="57">
        <f t="shared" si="11"/>
        <v>0</v>
      </c>
      <c r="U39" s="89">
        <f t="shared" si="12"/>
        <v>0</v>
      </c>
    </row>
    <row r="40" spans="2:21" ht="12.75" customHeight="1">
      <c r="B40" s="163"/>
      <c r="C40" s="5"/>
      <c r="D40" s="5">
        <v>100</v>
      </c>
      <c r="E40" s="5">
        <v>105</v>
      </c>
      <c r="F40" s="164">
        <v>110</v>
      </c>
      <c r="M40" s="45" t="s">
        <v>10</v>
      </c>
      <c r="N40" s="46">
        <f t="shared" si="6"/>
        <v>0</v>
      </c>
      <c r="O40" s="46">
        <f t="shared" si="7"/>
        <v>0</v>
      </c>
      <c r="P40" s="47">
        <f t="shared" si="8"/>
        <v>0</v>
      </c>
      <c r="Q40" s="47">
        <f t="shared" si="9"/>
        <v>0</v>
      </c>
      <c r="R40" s="48">
        <v>54</v>
      </c>
      <c r="S40" s="49">
        <f t="shared" si="10"/>
        <v>0</v>
      </c>
      <c r="T40" s="57">
        <f t="shared" si="11"/>
        <v>0</v>
      </c>
      <c r="U40" s="89">
        <f t="shared" si="12"/>
        <v>0</v>
      </c>
    </row>
    <row r="41" spans="2:21" ht="12.75" customHeight="1" thickBot="1">
      <c r="B41" s="168"/>
      <c r="C41" s="13"/>
      <c r="D41" s="171">
        <f>D40*($I$21+I26+I17+$I$15)</f>
        <v>152.5</v>
      </c>
      <c r="E41" s="171">
        <f>E40*($I$21+I27+I18+$I$15)</f>
        <v>168.525</v>
      </c>
      <c r="F41" s="172">
        <f>F40*($I$21+I28+I20+$I$15)</f>
        <v>163.35</v>
      </c>
      <c r="M41" s="45" t="s">
        <v>7</v>
      </c>
      <c r="N41" s="46">
        <f t="shared" si="6"/>
        <v>826.6331658291457</v>
      </c>
      <c r="O41" s="46">
        <f t="shared" si="7"/>
        <v>35152.57537688442</v>
      </c>
      <c r="P41" s="47">
        <f t="shared" si="8"/>
        <v>0</v>
      </c>
      <c r="Q41" s="47">
        <f t="shared" si="9"/>
        <v>35152.57537688442</v>
      </c>
      <c r="R41" s="48">
        <v>200</v>
      </c>
      <c r="S41" s="49">
        <f t="shared" si="10"/>
        <v>129.04727645032307</v>
      </c>
      <c r="T41" s="57">
        <f t="shared" si="11"/>
        <v>25809.455290064612</v>
      </c>
      <c r="U41" s="89">
        <f t="shared" si="12"/>
        <v>158.9525370094361</v>
      </c>
    </row>
    <row r="42" spans="2:21" ht="12.75" customHeight="1">
      <c r="B42" s="7"/>
      <c r="C42" s="7"/>
      <c r="D42" s="7"/>
      <c r="E42" s="7"/>
      <c r="F42" s="7"/>
      <c r="M42" s="45" t="s">
        <v>15</v>
      </c>
      <c r="N42" s="46">
        <f t="shared" si="6"/>
        <v>346.73366834170855</v>
      </c>
      <c r="O42" s="46">
        <f t="shared" si="7"/>
        <v>14744.849246231155</v>
      </c>
      <c r="P42" s="47">
        <f t="shared" si="8"/>
        <v>0</v>
      </c>
      <c r="Q42" s="47">
        <f t="shared" si="9"/>
        <v>14744.849246231155</v>
      </c>
      <c r="R42" s="48">
        <v>208</v>
      </c>
      <c r="S42" s="49">
        <f t="shared" si="10"/>
        <v>54.12925273600177</v>
      </c>
      <c r="T42" s="57">
        <f t="shared" si="11"/>
        <v>11258.884569088368</v>
      </c>
      <c r="U42" s="89">
        <f t="shared" si="12"/>
        <v>149.87094821490274</v>
      </c>
    </row>
    <row r="43" spans="2:21" ht="12.75" customHeight="1">
      <c r="B43" s="203" t="s">
        <v>56</v>
      </c>
      <c r="C43" s="204"/>
      <c r="D43" s="204"/>
      <c r="E43" s="205"/>
      <c r="F43" s="7"/>
      <c r="G43" s="203" t="s">
        <v>57</v>
      </c>
      <c r="H43" s="204"/>
      <c r="I43" s="205"/>
      <c r="M43" s="45" t="s">
        <v>11</v>
      </c>
      <c r="N43" s="46">
        <f t="shared" si="6"/>
        <v>826.6331658291457</v>
      </c>
      <c r="O43" s="46">
        <f t="shared" si="7"/>
        <v>35152.57537688442</v>
      </c>
      <c r="P43" s="47">
        <f t="shared" si="8"/>
        <v>0</v>
      </c>
      <c r="Q43" s="47">
        <f t="shared" si="9"/>
        <v>35152.57537688442</v>
      </c>
      <c r="R43" s="48">
        <v>216</v>
      </c>
      <c r="S43" s="49">
        <f t="shared" si="10"/>
        <v>129.04727645032307</v>
      </c>
      <c r="T43" s="57">
        <f t="shared" si="11"/>
        <v>27874.211713269782</v>
      </c>
      <c r="U43" s="89">
        <f t="shared" si="12"/>
        <v>141.6223611585986</v>
      </c>
    </row>
    <row r="44" spans="13:21" ht="12.75" customHeight="1" thickBot="1">
      <c r="M44" s="45" t="s">
        <v>8</v>
      </c>
      <c r="N44" s="46">
        <f t="shared" si="6"/>
        <v>0</v>
      </c>
      <c r="O44" s="46">
        <f t="shared" si="7"/>
        <v>0</v>
      </c>
      <c r="P44" s="47">
        <f t="shared" si="8"/>
        <v>0</v>
      </c>
      <c r="Q44" s="47">
        <f t="shared" si="9"/>
        <v>0</v>
      </c>
      <c r="R44" s="48">
        <v>10</v>
      </c>
      <c r="S44" s="49">
        <f t="shared" si="10"/>
        <v>0</v>
      </c>
      <c r="T44" s="57">
        <f t="shared" si="11"/>
        <v>0</v>
      </c>
      <c r="U44" s="89">
        <f t="shared" si="12"/>
        <v>0</v>
      </c>
    </row>
    <row r="45" spans="2:21" ht="12.75" customHeight="1" thickBot="1">
      <c r="B45" s="144" t="s">
        <v>26</v>
      </c>
      <c r="C45" s="145" t="s">
        <v>35</v>
      </c>
      <c r="D45" s="145" t="s">
        <v>30</v>
      </c>
      <c r="E45" s="146" t="s">
        <v>23</v>
      </c>
      <c r="F45" s="147"/>
      <c r="G45" s="148" t="s">
        <v>36</v>
      </c>
      <c r="H45" s="149" t="s">
        <v>5</v>
      </c>
      <c r="I45" s="149" t="s">
        <v>24</v>
      </c>
      <c r="M45" s="50" t="s">
        <v>16</v>
      </c>
      <c r="N45" s="87">
        <f t="shared" si="6"/>
        <v>0</v>
      </c>
      <c r="O45" s="87">
        <f t="shared" si="7"/>
        <v>0</v>
      </c>
      <c r="P45" s="88">
        <f t="shared" si="8"/>
        <v>0</v>
      </c>
      <c r="Q45" s="88">
        <f t="shared" si="9"/>
        <v>0</v>
      </c>
      <c r="R45" s="51">
        <v>30</v>
      </c>
      <c r="S45" s="52">
        <f t="shared" si="10"/>
        <v>0</v>
      </c>
      <c r="T45" s="57">
        <f t="shared" si="11"/>
        <v>0</v>
      </c>
      <c r="U45" s="89">
        <f t="shared" si="12"/>
        <v>0</v>
      </c>
    </row>
    <row r="46" spans="2:21" ht="12.75" customHeight="1" thickBot="1">
      <c r="B46" s="150" t="s">
        <v>0</v>
      </c>
      <c r="C46" s="151">
        <f>C12*C38</f>
        <v>85050</v>
      </c>
      <c r="D46" s="141">
        <f>IF($I$11="剣",$B$38,0)</f>
        <v>0</v>
      </c>
      <c r="E46" s="152">
        <f aca="true" t="shared" si="13" ref="E46:E52">(C46+D46)/($C$53+$D$53)</f>
        <v>0.3922409618550853</v>
      </c>
      <c r="F46" s="7"/>
      <c r="G46" s="153" t="s">
        <v>0</v>
      </c>
      <c r="H46" s="154">
        <f aca="true" t="shared" si="14" ref="H46:H54">E12</f>
        <v>0</v>
      </c>
      <c r="I46" s="169">
        <f aca="true" t="shared" si="15" ref="I46:I54">H46/$H$55</f>
        <v>0</v>
      </c>
      <c r="M46" s="53" t="s">
        <v>18</v>
      </c>
      <c r="N46" s="131">
        <f>SUM(N37:N45)</f>
        <v>2000</v>
      </c>
      <c r="O46" s="71">
        <f>SUM(O37:O45)</f>
        <v>85050</v>
      </c>
      <c r="P46" s="71">
        <f t="shared" si="8"/>
        <v>0</v>
      </c>
      <c r="Q46" s="132">
        <f t="shared" si="9"/>
        <v>85050</v>
      </c>
      <c r="R46" s="133"/>
      <c r="S46" s="134">
        <f>SUM(S37:S45)</f>
        <v>312.2238056366479</v>
      </c>
      <c r="T46" s="135">
        <f>SUM(T37:T45)</f>
        <v>64942.551572422766</v>
      </c>
      <c r="U46" s="136">
        <f t="shared" si="12"/>
        <v>149.87094821490274</v>
      </c>
    </row>
    <row r="47" spans="2:21" ht="12.75" customHeight="1" thickBot="1">
      <c r="B47" s="150" t="s">
        <v>2</v>
      </c>
      <c r="C47" s="151">
        <f>C13*D38</f>
        <v>0</v>
      </c>
      <c r="D47" s="141">
        <f>IF($I$11="槍",$B$38,0)</f>
        <v>3371</v>
      </c>
      <c r="E47" s="152">
        <f t="shared" si="13"/>
        <v>0.015546669987225073</v>
      </c>
      <c r="F47" s="7"/>
      <c r="G47" s="153" t="s">
        <v>2</v>
      </c>
      <c r="H47" s="154">
        <f t="shared" si="14"/>
        <v>0</v>
      </c>
      <c r="I47" s="169">
        <f t="shared" si="15"/>
        <v>0</v>
      </c>
      <c r="M47" s="199" t="s">
        <v>2</v>
      </c>
      <c r="N47" s="91" t="s">
        <v>65</v>
      </c>
      <c r="O47" s="91" t="s">
        <v>37</v>
      </c>
      <c r="P47" s="92" t="s">
        <v>22</v>
      </c>
      <c r="Q47" s="92" t="s">
        <v>53</v>
      </c>
      <c r="R47" s="92" t="s">
        <v>27</v>
      </c>
      <c r="S47" s="92" t="s">
        <v>28</v>
      </c>
      <c r="T47" s="93" t="s">
        <v>17</v>
      </c>
      <c r="U47" s="94"/>
    </row>
    <row r="48" spans="2:21" ht="12.75" customHeight="1">
      <c r="B48" s="150" t="s">
        <v>3</v>
      </c>
      <c r="C48" s="151">
        <f>C14*E38</f>
        <v>0</v>
      </c>
      <c r="D48" s="141">
        <f>IF($I$11="弓",$B$38,0)</f>
        <v>0</v>
      </c>
      <c r="E48" s="152">
        <f t="shared" si="13"/>
        <v>0</v>
      </c>
      <c r="F48" s="7"/>
      <c r="G48" s="153" t="s">
        <v>3</v>
      </c>
      <c r="H48" s="154">
        <f t="shared" si="14"/>
        <v>0</v>
      </c>
      <c r="I48" s="169">
        <f t="shared" si="15"/>
        <v>0</v>
      </c>
      <c r="M48" s="90" t="s">
        <v>12</v>
      </c>
      <c r="N48" s="54">
        <f aca="true" t="shared" si="16" ref="N48:N56">$C$13*I46</f>
        <v>0</v>
      </c>
      <c r="O48" s="54">
        <f aca="true" t="shared" si="17" ref="O48:O56">$C$47*I46</f>
        <v>0</v>
      </c>
      <c r="P48" s="55">
        <f aca="true" t="shared" si="18" ref="P48:P56">$D$47*I46</f>
        <v>0</v>
      </c>
      <c r="Q48" s="55">
        <f aca="true" t="shared" si="19" ref="Q48:Q56">O48+P48</f>
        <v>0</v>
      </c>
      <c r="R48" s="43">
        <v>10</v>
      </c>
      <c r="S48" s="44">
        <f aca="true" t="shared" si="20" ref="S48:S56">H46*$E$47</f>
        <v>0</v>
      </c>
      <c r="T48" s="56">
        <f aca="true" t="shared" si="21" ref="T48:T56">R48*S48*$E$24</f>
        <v>0</v>
      </c>
      <c r="U48" s="69">
        <f aca="true" t="shared" si="22" ref="U48:U57">IF(T48&lt;=Q48,0,100*(T48/Q48)^(3/2))+IF(T48&gt;=Q48,0,100*(Q48/T48)^(3/2))</f>
        <v>0</v>
      </c>
    </row>
    <row r="49" spans="2:21" ht="12.75" customHeight="1">
      <c r="B49" s="150" t="s">
        <v>4</v>
      </c>
      <c r="C49" s="151">
        <f>C15*F38</f>
        <v>0</v>
      </c>
      <c r="D49" s="141">
        <f>IF($I$11="騎馬",$B$38,0)</f>
        <v>0</v>
      </c>
      <c r="E49" s="152">
        <f t="shared" si="13"/>
        <v>0</v>
      </c>
      <c r="F49" s="7"/>
      <c r="G49" s="153" t="s">
        <v>4</v>
      </c>
      <c r="H49" s="154">
        <f t="shared" si="14"/>
        <v>0</v>
      </c>
      <c r="I49" s="169">
        <f t="shared" si="15"/>
        <v>0</v>
      </c>
      <c r="M49" s="45" t="s">
        <v>13</v>
      </c>
      <c r="N49" s="46">
        <f t="shared" si="16"/>
        <v>0</v>
      </c>
      <c r="O49" s="46">
        <f t="shared" si="17"/>
        <v>0</v>
      </c>
      <c r="P49" s="47">
        <f t="shared" si="18"/>
        <v>0</v>
      </c>
      <c r="Q49" s="47">
        <f t="shared" si="19"/>
        <v>0</v>
      </c>
      <c r="R49" s="48">
        <v>40</v>
      </c>
      <c r="S49" s="49">
        <f t="shared" si="20"/>
        <v>0</v>
      </c>
      <c r="T49" s="57">
        <f t="shared" si="21"/>
        <v>0</v>
      </c>
      <c r="U49" s="69">
        <f t="shared" si="22"/>
        <v>0</v>
      </c>
    </row>
    <row r="50" spans="2:21" ht="12.75" customHeight="1">
      <c r="B50" s="150" t="s">
        <v>76</v>
      </c>
      <c r="C50" s="151">
        <f>C16*D41</f>
        <v>61000</v>
      </c>
      <c r="D50" s="155"/>
      <c r="E50" s="152">
        <f t="shared" si="13"/>
        <v>0.28132508727995537</v>
      </c>
      <c r="F50" s="7"/>
      <c r="G50" s="153" t="s">
        <v>76</v>
      </c>
      <c r="H50" s="154">
        <f t="shared" si="14"/>
        <v>329</v>
      </c>
      <c r="I50" s="169">
        <f t="shared" si="15"/>
        <v>0.41331658291457285</v>
      </c>
      <c r="M50" s="45" t="s">
        <v>14</v>
      </c>
      <c r="N50" s="46">
        <f t="shared" si="16"/>
        <v>0</v>
      </c>
      <c r="O50" s="46">
        <f t="shared" si="17"/>
        <v>0</v>
      </c>
      <c r="P50" s="47">
        <f t="shared" si="18"/>
        <v>0</v>
      </c>
      <c r="Q50" s="47">
        <f t="shared" si="19"/>
        <v>0</v>
      </c>
      <c r="R50" s="48">
        <v>58</v>
      </c>
      <c r="S50" s="49">
        <f t="shared" si="20"/>
        <v>0</v>
      </c>
      <c r="T50" s="57">
        <f t="shared" si="21"/>
        <v>0</v>
      </c>
      <c r="U50" s="69">
        <f t="shared" si="22"/>
        <v>0</v>
      </c>
    </row>
    <row r="51" spans="2:21" ht="12.75" customHeight="1">
      <c r="B51" s="150" t="s">
        <v>81</v>
      </c>
      <c r="C51" s="151">
        <f>C17*E41</f>
        <v>67410</v>
      </c>
      <c r="D51" s="155"/>
      <c r="E51" s="152">
        <f t="shared" si="13"/>
        <v>0.31088728087773426</v>
      </c>
      <c r="F51" s="7"/>
      <c r="G51" s="153" t="s">
        <v>80</v>
      </c>
      <c r="H51" s="154">
        <f t="shared" si="14"/>
        <v>138</v>
      </c>
      <c r="I51" s="169">
        <f t="shared" si="15"/>
        <v>0.17336683417085427</v>
      </c>
      <c r="L51" s="7"/>
      <c r="M51" s="45" t="s">
        <v>10</v>
      </c>
      <c r="N51" s="46">
        <f t="shared" si="16"/>
        <v>0</v>
      </c>
      <c r="O51" s="46">
        <f t="shared" si="17"/>
        <v>0</v>
      </c>
      <c r="P51" s="47">
        <f t="shared" si="18"/>
        <v>0</v>
      </c>
      <c r="Q51" s="47">
        <f t="shared" si="19"/>
        <v>0</v>
      </c>
      <c r="R51" s="48">
        <v>28</v>
      </c>
      <c r="S51" s="49">
        <f t="shared" si="20"/>
        <v>0</v>
      </c>
      <c r="T51" s="57">
        <f t="shared" si="21"/>
        <v>0</v>
      </c>
      <c r="U51" s="69">
        <f t="shared" si="22"/>
        <v>0</v>
      </c>
    </row>
    <row r="52" spans="2:21" ht="12.75" customHeight="1">
      <c r="B52" s="150" t="s">
        <v>78</v>
      </c>
      <c r="C52" s="151">
        <f>C18*F41</f>
        <v>0</v>
      </c>
      <c r="D52" s="155"/>
      <c r="E52" s="152">
        <f t="shared" si="13"/>
        <v>0</v>
      </c>
      <c r="F52" s="7"/>
      <c r="G52" s="153" t="s">
        <v>20</v>
      </c>
      <c r="H52" s="154">
        <f t="shared" si="14"/>
        <v>329</v>
      </c>
      <c r="I52" s="169">
        <f t="shared" si="15"/>
        <v>0.41331658291457285</v>
      </c>
      <c r="L52" s="7"/>
      <c r="M52" s="45" t="s">
        <v>7</v>
      </c>
      <c r="N52" s="46">
        <f t="shared" si="16"/>
        <v>0</v>
      </c>
      <c r="O52" s="46">
        <f t="shared" si="17"/>
        <v>0</v>
      </c>
      <c r="P52" s="47">
        <f t="shared" si="18"/>
        <v>1393.290201005025</v>
      </c>
      <c r="Q52" s="47">
        <f t="shared" si="19"/>
        <v>1393.290201005025</v>
      </c>
      <c r="R52" s="48">
        <v>100</v>
      </c>
      <c r="S52" s="49">
        <f t="shared" si="20"/>
        <v>5.114854425797049</v>
      </c>
      <c r="T52" s="57">
        <f t="shared" si="21"/>
        <v>511.48544257970497</v>
      </c>
      <c r="U52" s="69">
        <f t="shared" si="22"/>
        <v>449.58566722471164</v>
      </c>
    </row>
    <row r="53" spans="2:21" ht="12.75" customHeight="1" thickBot="1">
      <c r="B53" s="156"/>
      <c r="C53" s="157">
        <f>SUM(C46:C52)</f>
        <v>213460</v>
      </c>
      <c r="D53" s="157">
        <f>SUM(D46:D52)</f>
        <v>3371</v>
      </c>
      <c r="E53" s="158">
        <f>SUM(E46:E52)</f>
        <v>1</v>
      </c>
      <c r="F53" s="7"/>
      <c r="G53" s="153" t="s">
        <v>8</v>
      </c>
      <c r="H53" s="154">
        <f t="shared" si="14"/>
        <v>0</v>
      </c>
      <c r="I53" s="169">
        <f t="shared" si="15"/>
        <v>0</v>
      </c>
      <c r="M53" s="45" t="s">
        <v>15</v>
      </c>
      <c r="N53" s="46">
        <f t="shared" si="16"/>
        <v>0</v>
      </c>
      <c r="O53" s="46">
        <f t="shared" si="17"/>
        <v>0</v>
      </c>
      <c r="P53" s="47">
        <f t="shared" si="18"/>
        <v>584.4195979899498</v>
      </c>
      <c r="Q53" s="47">
        <f t="shared" si="19"/>
        <v>584.4195979899498</v>
      </c>
      <c r="R53" s="48">
        <v>145</v>
      </c>
      <c r="S53" s="49">
        <f t="shared" si="20"/>
        <v>2.14544045823706</v>
      </c>
      <c r="T53" s="57">
        <f t="shared" si="21"/>
        <v>311.0888664443737</v>
      </c>
      <c r="U53" s="69">
        <f t="shared" si="22"/>
        <v>257.4900515175176</v>
      </c>
    </row>
    <row r="54" spans="2:21" ht="12.75" customHeight="1">
      <c r="B54" s="7"/>
      <c r="C54" s="7"/>
      <c r="D54" s="7"/>
      <c r="E54" s="7"/>
      <c r="F54" s="7"/>
      <c r="G54" s="153" t="s">
        <v>16</v>
      </c>
      <c r="H54" s="154">
        <f t="shared" si="14"/>
        <v>0</v>
      </c>
      <c r="I54" s="169">
        <f t="shared" si="15"/>
        <v>0</v>
      </c>
      <c r="M54" s="45" t="s">
        <v>11</v>
      </c>
      <c r="N54" s="46">
        <f t="shared" si="16"/>
        <v>0</v>
      </c>
      <c r="O54" s="46">
        <f t="shared" si="17"/>
        <v>0</v>
      </c>
      <c r="P54" s="47">
        <f t="shared" si="18"/>
        <v>1393.290201005025</v>
      </c>
      <c r="Q54" s="47">
        <f t="shared" si="19"/>
        <v>1393.290201005025</v>
      </c>
      <c r="R54" s="48">
        <v>70</v>
      </c>
      <c r="S54" s="49">
        <f t="shared" si="20"/>
        <v>5.114854425797049</v>
      </c>
      <c r="T54" s="57">
        <f t="shared" si="21"/>
        <v>358.0398098057935</v>
      </c>
      <c r="U54" s="69">
        <f t="shared" si="22"/>
        <v>767.6537883052396</v>
      </c>
    </row>
    <row r="55" spans="5:21" ht="12.75" customHeight="1" thickBot="1">
      <c r="E55" s="7"/>
      <c r="F55" s="7"/>
      <c r="G55" s="159" t="s">
        <v>9</v>
      </c>
      <c r="H55" s="160">
        <f>SUM(H46:H54)</f>
        <v>796</v>
      </c>
      <c r="I55" s="170">
        <f>SUM(I46:I54)</f>
        <v>1</v>
      </c>
      <c r="M55" s="45" t="s">
        <v>8</v>
      </c>
      <c r="N55" s="46">
        <f t="shared" si="16"/>
        <v>0</v>
      </c>
      <c r="O55" s="46">
        <f t="shared" si="17"/>
        <v>0</v>
      </c>
      <c r="P55" s="47">
        <f t="shared" si="18"/>
        <v>0</v>
      </c>
      <c r="Q55" s="47">
        <f t="shared" si="19"/>
        <v>0</v>
      </c>
      <c r="R55" s="48">
        <v>10</v>
      </c>
      <c r="S55" s="49">
        <f t="shared" si="20"/>
        <v>0</v>
      </c>
      <c r="T55" s="57">
        <f t="shared" si="21"/>
        <v>0</v>
      </c>
      <c r="U55" s="69">
        <f t="shared" si="22"/>
        <v>0</v>
      </c>
    </row>
    <row r="56" spans="13:21" ht="12.75" customHeight="1" thickBot="1">
      <c r="M56" s="50" t="s">
        <v>16</v>
      </c>
      <c r="N56" s="87">
        <f t="shared" si="16"/>
        <v>0</v>
      </c>
      <c r="O56" s="87">
        <f t="shared" si="17"/>
        <v>0</v>
      </c>
      <c r="P56" s="88">
        <f t="shared" si="18"/>
        <v>0</v>
      </c>
      <c r="Q56" s="88">
        <f t="shared" si="19"/>
        <v>0</v>
      </c>
      <c r="R56" s="51">
        <v>10</v>
      </c>
      <c r="S56" s="52">
        <f t="shared" si="20"/>
        <v>0</v>
      </c>
      <c r="T56" s="58">
        <f t="shared" si="21"/>
        <v>0</v>
      </c>
      <c r="U56" s="69">
        <f t="shared" si="22"/>
        <v>0</v>
      </c>
    </row>
    <row r="57" spans="13:21" ht="12.75" customHeight="1" thickBot="1">
      <c r="M57" s="53" t="s">
        <v>18</v>
      </c>
      <c r="N57" s="131"/>
      <c r="O57" s="71">
        <f>SUM(O48:O56)</f>
        <v>0</v>
      </c>
      <c r="P57" s="71">
        <f>SUM(P48:P56)</f>
        <v>3371</v>
      </c>
      <c r="Q57" s="132">
        <f>SUM(Q47:Q56)</f>
        <v>3371</v>
      </c>
      <c r="R57" s="133"/>
      <c r="S57" s="134">
        <f>SUM(S48:S56)</f>
        <v>12.375149309831158</v>
      </c>
      <c r="T57" s="135">
        <f>SUM(T47:T56)</f>
        <v>1180.6141188298723</v>
      </c>
      <c r="U57" s="136">
        <f t="shared" si="22"/>
        <v>482.476505434155</v>
      </c>
    </row>
    <row r="58" spans="13:21" ht="12.75" customHeight="1" thickBot="1">
      <c r="M58" s="199" t="s">
        <v>3</v>
      </c>
      <c r="N58" s="91" t="s">
        <v>65</v>
      </c>
      <c r="O58" s="91" t="s">
        <v>37</v>
      </c>
      <c r="P58" s="92" t="s">
        <v>22</v>
      </c>
      <c r="Q58" s="92" t="s">
        <v>53</v>
      </c>
      <c r="R58" s="92" t="s">
        <v>27</v>
      </c>
      <c r="S58" s="92" t="s">
        <v>28</v>
      </c>
      <c r="T58" s="93" t="s">
        <v>17</v>
      </c>
      <c r="U58" s="94"/>
    </row>
    <row r="59" spans="13:21" ht="12.75" customHeight="1">
      <c r="M59" s="90" t="s">
        <v>12</v>
      </c>
      <c r="N59" s="54">
        <f aca="true" t="shared" si="23" ref="N59:N67">$C$14*I46</f>
        <v>0</v>
      </c>
      <c r="O59" s="54">
        <f aca="true" t="shared" si="24" ref="O59:O67">$C$48*I46</f>
        <v>0</v>
      </c>
      <c r="P59" s="55">
        <f aca="true" t="shared" si="25" ref="P59:P67">$D$48*I46</f>
        <v>0</v>
      </c>
      <c r="Q59" s="55">
        <f aca="true" t="shared" si="26" ref="Q59:Q67">O59+P59</f>
        <v>0</v>
      </c>
      <c r="R59" s="43">
        <v>10</v>
      </c>
      <c r="S59" s="44">
        <f aca="true" t="shared" si="27" ref="S59:S67">H46*$E$48</f>
        <v>0</v>
      </c>
      <c r="T59" s="56">
        <f aca="true" t="shared" si="28" ref="T59:T67">R59*S59*$E$24</f>
        <v>0</v>
      </c>
      <c r="U59" s="89">
        <f aca="true" t="shared" si="29" ref="U59:U68">IF(T59&lt;=Q59,0,100*(T59/Q59)^(3/2))+IF(T59&gt;=Q59,0,100*(Q59/T59)^(3/2))</f>
        <v>0</v>
      </c>
    </row>
    <row r="60" spans="13:21" ht="12.75" customHeight="1">
      <c r="M60" s="45" t="s">
        <v>13</v>
      </c>
      <c r="N60" s="46">
        <f t="shared" si="23"/>
        <v>0</v>
      </c>
      <c r="O60" s="46">
        <f t="shared" si="24"/>
        <v>0</v>
      </c>
      <c r="P60" s="47">
        <f t="shared" si="25"/>
        <v>0</v>
      </c>
      <c r="Q60" s="47">
        <f t="shared" si="26"/>
        <v>0</v>
      </c>
      <c r="R60" s="48">
        <v>25</v>
      </c>
      <c r="S60" s="49">
        <f t="shared" si="27"/>
        <v>0</v>
      </c>
      <c r="T60" s="57">
        <f t="shared" si="28"/>
        <v>0</v>
      </c>
      <c r="U60" s="89">
        <f t="shared" si="29"/>
        <v>0</v>
      </c>
    </row>
    <row r="61" spans="13:21" ht="12.75" customHeight="1">
      <c r="M61" s="45" t="s">
        <v>14</v>
      </c>
      <c r="N61" s="46">
        <f t="shared" si="23"/>
        <v>0</v>
      </c>
      <c r="O61" s="46">
        <f t="shared" si="24"/>
        <v>0</v>
      </c>
      <c r="P61" s="47">
        <f t="shared" si="25"/>
        <v>0</v>
      </c>
      <c r="Q61" s="47">
        <f t="shared" si="26"/>
        <v>0</v>
      </c>
      <c r="R61" s="48">
        <v>42</v>
      </c>
      <c r="S61" s="49">
        <f t="shared" si="27"/>
        <v>0</v>
      </c>
      <c r="T61" s="57">
        <f t="shared" si="28"/>
        <v>0</v>
      </c>
      <c r="U61" s="89">
        <f t="shared" si="29"/>
        <v>0</v>
      </c>
    </row>
    <row r="62" spans="13:21" ht="12.75" customHeight="1">
      <c r="M62" s="45" t="s">
        <v>10</v>
      </c>
      <c r="N62" s="46">
        <f t="shared" si="23"/>
        <v>0</v>
      </c>
      <c r="O62" s="46">
        <f t="shared" si="24"/>
        <v>0</v>
      </c>
      <c r="P62" s="47">
        <f t="shared" si="25"/>
        <v>0</v>
      </c>
      <c r="Q62" s="47">
        <f t="shared" si="26"/>
        <v>0</v>
      </c>
      <c r="R62" s="48">
        <v>60</v>
      </c>
      <c r="S62" s="49">
        <f t="shared" si="27"/>
        <v>0</v>
      </c>
      <c r="T62" s="57">
        <f t="shared" si="28"/>
        <v>0</v>
      </c>
      <c r="U62" s="89">
        <f t="shared" si="29"/>
        <v>0</v>
      </c>
    </row>
    <row r="63" spans="13:21" ht="12.75" customHeight="1">
      <c r="M63" s="45" t="s">
        <v>7</v>
      </c>
      <c r="N63" s="46">
        <f t="shared" si="23"/>
        <v>0</v>
      </c>
      <c r="O63" s="46">
        <f t="shared" si="24"/>
        <v>0</v>
      </c>
      <c r="P63" s="47">
        <f t="shared" si="25"/>
        <v>0</v>
      </c>
      <c r="Q63" s="47">
        <f t="shared" si="26"/>
        <v>0</v>
      </c>
      <c r="R63" s="48">
        <v>63</v>
      </c>
      <c r="S63" s="49">
        <f t="shared" si="27"/>
        <v>0</v>
      </c>
      <c r="T63" s="57">
        <f t="shared" si="28"/>
        <v>0</v>
      </c>
      <c r="U63" s="89">
        <f t="shared" si="29"/>
        <v>0</v>
      </c>
    </row>
    <row r="64" spans="13:21" ht="12.75" customHeight="1">
      <c r="M64" s="45" t="s">
        <v>15</v>
      </c>
      <c r="N64" s="46">
        <f t="shared" si="23"/>
        <v>0</v>
      </c>
      <c r="O64" s="46">
        <f t="shared" si="24"/>
        <v>0</v>
      </c>
      <c r="P64" s="47">
        <f t="shared" si="25"/>
        <v>0</v>
      </c>
      <c r="Q64" s="47">
        <f t="shared" si="26"/>
        <v>0</v>
      </c>
      <c r="R64" s="48">
        <v>105</v>
      </c>
      <c r="S64" s="49">
        <f t="shared" si="27"/>
        <v>0</v>
      </c>
      <c r="T64" s="57">
        <f t="shared" si="28"/>
        <v>0</v>
      </c>
      <c r="U64" s="89">
        <f t="shared" si="29"/>
        <v>0</v>
      </c>
    </row>
    <row r="65" spans="13:21" ht="12.75" customHeight="1">
      <c r="M65" s="45" t="s">
        <v>11</v>
      </c>
      <c r="N65" s="46">
        <f t="shared" si="23"/>
        <v>0</v>
      </c>
      <c r="O65" s="46">
        <f t="shared" si="24"/>
        <v>0</v>
      </c>
      <c r="P65" s="47">
        <f t="shared" si="25"/>
        <v>0</v>
      </c>
      <c r="Q65" s="47">
        <f t="shared" si="26"/>
        <v>0</v>
      </c>
      <c r="R65" s="48">
        <v>150</v>
      </c>
      <c r="S65" s="49">
        <f t="shared" si="27"/>
        <v>0</v>
      </c>
      <c r="T65" s="57">
        <f t="shared" si="28"/>
        <v>0</v>
      </c>
      <c r="U65" s="89">
        <f t="shared" si="29"/>
        <v>0</v>
      </c>
    </row>
    <row r="66" spans="13:21" ht="12.75" customHeight="1">
      <c r="M66" s="45" t="s">
        <v>8</v>
      </c>
      <c r="N66" s="46">
        <f t="shared" si="23"/>
        <v>0</v>
      </c>
      <c r="O66" s="46">
        <f t="shared" si="24"/>
        <v>0</v>
      </c>
      <c r="P66" s="47">
        <f t="shared" si="25"/>
        <v>0</v>
      </c>
      <c r="Q66" s="47">
        <f t="shared" si="26"/>
        <v>0</v>
      </c>
      <c r="R66" s="48">
        <v>5</v>
      </c>
      <c r="S66" s="49">
        <f t="shared" si="27"/>
        <v>0</v>
      </c>
      <c r="T66" s="57">
        <f t="shared" si="28"/>
        <v>0</v>
      </c>
      <c r="U66" s="89">
        <f t="shared" si="29"/>
        <v>0</v>
      </c>
    </row>
    <row r="67" spans="13:21" ht="12.75" customHeight="1" thickBot="1">
      <c r="M67" s="50" t="s">
        <v>16</v>
      </c>
      <c r="N67" s="87">
        <f t="shared" si="23"/>
        <v>0</v>
      </c>
      <c r="O67" s="87">
        <f t="shared" si="24"/>
        <v>0</v>
      </c>
      <c r="P67" s="88">
        <f t="shared" si="25"/>
        <v>0</v>
      </c>
      <c r="Q67" s="88">
        <f t="shared" si="26"/>
        <v>0</v>
      </c>
      <c r="R67" s="51">
        <v>40</v>
      </c>
      <c r="S67" s="52">
        <f t="shared" si="27"/>
        <v>0</v>
      </c>
      <c r="T67" s="58">
        <f t="shared" si="28"/>
        <v>0</v>
      </c>
      <c r="U67" s="89">
        <f t="shared" si="29"/>
        <v>0</v>
      </c>
    </row>
    <row r="68" spans="13:21" ht="12.75" customHeight="1" thickBot="1">
      <c r="M68" s="53" t="s">
        <v>18</v>
      </c>
      <c r="N68" s="131"/>
      <c r="O68" s="71">
        <f>SUM(O59:O67)</f>
        <v>0</v>
      </c>
      <c r="P68" s="71">
        <f>SUM(P59:P67)</f>
        <v>0</v>
      </c>
      <c r="Q68" s="132">
        <f>SUM(Q59:Q67)</f>
        <v>0</v>
      </c>
      <c r="R68" s="133"/>
      <c r="S68" s="134">
        <f>SUM(S59:S67)</f>
        <v>0</v>
      </c>
      <c r="T68" s="135">
        <f>SUM(T58:T67)</f>
        <v>0</v>
      </c>
      <c r="U68" s="136">
        <f t="shared" si="29"/>
        <v>0</v>
      </c>
    </row>
    <row r="69" spans="13:21" ht="12.75" customHeight="1" thickBot="1">
      <c r="M69" s="199" t="s">
        <v>10</v>
      </c>
      <c r="N69" s="91" t="s">
        <v>65</v>
      </c>
      <c r="O69" s="91" t="s">
        <v>37</v>
      </c>
      <c r="P69" s="92" t="s">
        <v>22</v>
      </c>
      <c r="Q69" s="92" t="s">
        <v>53</v>
      </c>
      <c r="R69" s="92" t="s">
        <v>27</v>
      </c>
      <c r="S69" s="92" t="s">
        <v>28</v>
      </c>
      <c r="T69" s="93" t="s">
        <v>17</v>
      </c>
      <c r="U69" s="94"/>
    </row>
    <row r="70" spans="13:21" ht="12.75" customHeight="1">
      <c r="M70" s="90" t="s">
        <v>12</v>
      </c>
      <c r="N70" s="54">
        <f aca="true" t="shared" si="30" ref="N70:N78">$C$15*I46</f>
        <v>0</v>
      </c>
      <c r="O70" s="54">
        <f aca="true" t="shared" si="31" ref="O70:O78">$C$49*I46</f>
        <v>0</v>
      </c>
      <c r="P70" s="55">
        <f aca="true" t="shared" si="32" ref="P70:P78">$D$49*I46</f>
        <v>0</v>
      </c>
      <c r="Q70" s="55">
        <f aca="true" t="shared" si="33" ref="Q70:Q78">O70+P70</f>
        <v>0</v>
      </c>
      <c r="R70" s="43">
        <v>10</v>
      </c>
      <c r="S70" s="44">
        <f aca="true" t="shared" si="34" ref="S70:S78">H46*$E$49</f>
        <v>0</v>
      </c>
      <c r="T70" s="56">
        <f aca="true" t="shared" si="35" ref="T70:T78">R70*S70*$E$24</f>
        <v>0</v>
      </c>
      <c r="U70" s="89">
        <f aca="true" t="shared" si="36" ref="U70:U79">IF(T70&lt;=Q70,0,100*(T70/Q70)^(3/2))+IF(T70&gt;=Q70,0,100*(Q70/T70)^(3/2))</f>
        <v>0</v>
      </c>
    </row>
    <row r="71" spans="11:21" ht="12.75" customHeight="1">
      <c r="K71" s="6"/>
      <c r="M71" s="45" t="s">
        <v>13</v>
      </c>
      <c r="N71" s="46">
        <f t="shared" si="30"/>
        <v>0</v>
      </c>
      <c r="O71" s="46">
        <f t="shared" si="31"/>
        <v>0</v>
      </c>
      <c r="P71" s="47">
        <f t="shared" si="32"/>
        <v>0</v>
      </c>
      <c r="Q71" s="47">
        <f t="shared" si="33"/>
        <v>0</v>
      </c>
      <c r="R71" s="48">
        <v>55</v>
      </c>
      <c r="S71" s="49">
        <f t="shared" si="34"/>
        <v>0</v>
      </c>
      <c r="T71" s="57">
        <f t="shared" si="35"/>
        <v>0</v>
      </c>
      <c r="U71" s="89">
        <f t="shared" si="36"/>
        <v>0</v>
      </c>
    </row>
    <row r="72" spans="11:21" ht="12.75" customHeight="1">
      <c r="K72" s="6"/>
      <c r="M72" s="45" t="s">
        <v>14</v>
      </c>
      <c r="N72" s="46">
        <f t="shared" si="30"/>
        <v>0</v>
      </c>
      <c r="O72" s="46">
        <f t="shared" si="31"/>
        <v>0</v>
      </c>
      <c r="P72" s="47">
        <f t="shared" si="32"/>
        <v>0</v>
      </c>
      <c r="Q72" s="47">
        <f t="shared" si="33"/>
        <v>0</v>
      </c>
      <c r="R72" s="48">
        <v>26</v>
      </c>
      <c r="S72" s="49">
        <f t="shared" si="34"/>
        <v>0</v>
      </c>
      <c r="T72" s="57">
        <f t="shared" si="35"/>
        <v>0</v>
      </c>
      <c r="U72" s="89">
        <f t="shared" si="36"/>
        <v>0</v>
      </c>
    </row>
    <row r="73" spans="11:21" ht="12.75" customHeight="1">
      <c r="K73" s="6"/>
      <c r="M73" s="45" t="s">
        <v>10</v>
      </c>
      <c r="N73" s="46">
        <f t="shared" si="30"/>
        <v>0</v>
      </c>
      <c r="O73" s="46">
        <f t="shared" si="31"/>
        <v>0</v>
      </c>
      <c r="P73" s="47">
        <f t="shared" si="32"/>
        <v>0</v>
      </c>
      <c r="Q73" s="47">
        <f t="shared" si="33"/>
        <v>0</v>
      </c>
      <c r="R73" s="48">
        <v>44</v>
      </c>
      <c r="S73" s="49">
        <f t="shared" si="34"/>
        <v>0</v>
      </c>
      <c r="T73" s="57">
        <f t="shared" si="35"/>
        <v>0</v>
      </c>
      <c r="U73" s="89">
        <f t="shared" si="36"/>
        <v>0</v>
      </c>
    </row>
    <row r="74" spans="11:21" ht="12.75" customHeight="1">
      <c r="K74" s="6"/>
      <c r="M74" s="45" t="s">
        <v>7</v>
      </c>
      <c r="N74" s="46">
        <f t="shared" si="30"/>
        <v>0</v>
      </c>
      <c r="O74" s="46">
        <f t="shared" si="31"/>
        <v>0</v>
      </c>
      <c r="P74" s="47">
        <f t="shared" si="32"/>
        <v>0</v>
      </c>
      <c r="Q74" s="47">
        <f t="shared" si="33"/>
        <v>0</v>
      </c>
      <c r="R74" s="48">
        <v>137</v>
      </c>
      <c r="S74" s="49">
        <f t="shared" si="34"/>
        <v>0</v>
      </c>
      <c r="T74" s="57">
        <f t="shared" si="35"/>
        <v>0</v>
      </c>
      <c r="U74" s="89">
        <f t="shared" si="36"/>
        <v>0</v>
      </c>
    </row>
    <row r="75" spans="11:21" ht="12.75" customHeight="1">
      <c r="K75" s="7"/>
      <c r="M75" s="45" t="s">
        <v>15</v>
      </c>
      <c r="N75" s="46">
        <f t="shared" si="30"/>
        <v>0</v>
      </c>
      <c r="O75" s="46">
        <f t="shared" si="31"/>
        <v>0</v>
      </c>
      <c r="P75" s="47">
        <f t="shared" si="32"/>
        <v>0</v>
      </c>
      <c r="Q75" s="47">
        <f t="shared" si="33"/>
        <v>0</v>
      </c>
      <c r="R75" s="48">
        <v>65</v>
      </c>
      <c r="S75" s="49">
        <f t="shared" si="34"/>
        <v>0</v>
      </c>
      <c r="T75" s="57">
        <f t="shared" si="35"/>
        <v>0</v>
      </c>
      <c r="U75" s="89">
        <f t="shared" si="36"/>
        <v>0</v>
      </c>
    </row>
    <row r="76" spans="11:21" ht="12.75" customHeight="1">
      <c r="K76" s="7"/>
      <c r="M76" s="45" t="s">
        <v>11</v>
      </c>
      <c r="N76" s="46">
        <f t="shared" si="30"/>
        <v>0</v>
      </c>
      <c r="O76" s="46">
        <f t="shared" si="31"/>
        <v>0</v>
      </c>
      <c r="P76" s="47">
        <f t="shared" si="32"/>
        <v>0</v>
      </c>
      <c r="Q76" s="47">
        <f t="shared" si="33"/>
        <v>0</v>
      </c>
      <c r="R76" s="48">
        <v>110</v>
      </c>
      <c r="S76" s="49">
        <f t="shared" si="34"/>
        <v>0</v>
      </c>
      <c r="T76" s="57">
        <f t="shared" si="35"/>
        <v>0</v>
      </c>
      <c r="U76" s="89">
        <f t="shared" si="36"/>
        <v>0</v>
      </c>
    </row>
    <row r="77" spans="11:21" ht="12.75" customHeight="1">
      <c r="K77" s="7"/>
      <c r="M77" s="45" t="s">
        <v>8</v>
      </c>
      <c r="N77" s="46">
        <f t="shared" si="30"/>
        <v>0</v>
      </c>
      <c r="O77" s="46">
        <f t="shared" si="31"/>
        <v>0</v>
      </c>
      <c r="P77" s="47">
        <f t="shared" si="32"/>
        <v>0</v>
      </c>
      <c r="Q77" s="47">
        <f t="shared" si="33"/>
        <v>0</v>
      </c>
      <c r="R77" s="48">
        <v>5</v>
      </c>
      <c r="S77" s="49">
        <f t="shared" si="34"/>
        <v>0</v>
      </c>
      <c r="T77" s="57">
        <f t="shared" si="35"/>
        <v>0</v>
      </c>
      <c r="U77" s="89">
        <f t="shared" si="36"/>
        <v>0</v>
      </c>
    </row>
    <row r="78" spans="13:21" ht="12.75" customHeight="1" thickBot="1">
      <c r="M78" s="50" t="s">
        <v>16</v>
      </c>
      <c r="N78" s="87">
        <f t="shared" si="30"/>
        <v>0</v>
      </c>
      <c r="O78" s="87">
        <f t="shared" si="31"/>
        <v>0</v>
      </c>
      <c r="P78" s="88">
        <f t="shared" si="32"/>
        <v>0</v>
      </c>
      <c r="Q78" s="88">
        <f t="shared" si="33"/>
        <v>0</v>
      </c>
      <c r="R78" s="51">
        <v>20</v>
      </c>
      <c r="S78" s="52">
        <f t="shared" si="34"/>
        <v>0</v>
      </c>
      <c r="T78" s="58">
        <f t="shared" si="35"/>
        <v>0</v>
      </c>
      <c r="U78" s="89">
        <f t="shared" si="36"/>
        <v>0</v>
      </c>
    </row>
    <row r="79" spans="13:21" ht="12.75" customHeight="1" thickBot="1">
      <c r="M79" s="53" t="s">
        <v>18</v>
      </c>
      <c r="N79" s="131"/>
      <c r="O79" s="71">
        <f>SUM(O70:O78)</f>
        <v>0</v>
      </c>
      <c r="P79" s="71">
        <f>SUM(P70:P78)</f>
        <v>0</v>
      </c>
      <c r="Q79" s="132">
        <f>SUM(Q70:Q78)</f>
        <v>0</v>
      </c>
      <c r="R79" s="133"/>
      <c r="S79" s="134">
        <f>SUM(S70:S78)</f>
        <v>0</v>
      </c>
      <c r="T79" s="135">
        <f>SUM(T69:T78)</f>
        <v>0</v>
      </c>
      <c r="U79" s="136">
        <f t="shared" si="36"/>
        <v>0</v>
      </c>
    </row>
    <row r="80" spans="13:21" ht="12.75" customHeight="1" thickBot="1">
      <c r="M80" s="199" t="s">
        <v>7</v>
      </c>
      <c r="N80" s="91" t="s">
        <v>65</v>
      </c>
      <c r="O80" s="91" t="s">
        <v>37</v>
      </c>
      <c r="P80" s="92" t="s">
        <v>22</v>
      </c>
      <c r="Q80" s="92" t="s">
        <v>53</v>
      </c>
      <c r="R80" s="92" t="s">
        <v>27</v>
      </c>
      <c r="S80" s="92" t="s">
        <v>28</v>
      </c>
      <c r="T80" s="93" t="s">
        <v>17</v>
      </c>
      <c r="U80" s="94"/>
    </row>
    <row r="81" spans="11:21" ht="12.75" customHeight="1">
      <c r="K81" s="1"/>
      <c r="M81" s="90" t="s">
        <v>12</v>
      </c>
      <c r="N81" s="54">
        <f aca="true" t="shared" si="37" ref="N81:N89">$C$16*I46</f>
        <v>0</v>
      </c>
      <c r="O81" s="54">
        <f aca="true" t="shared" si="38" ref="O81:O89">$C$50*I46</f>
        <v>0</v>
      </c>
      <c r="P81" s="55"/>
      <c r="Q81" s="55">
        <f aca="true" t="shared" si="39" ref="Q81:Q89">O81</f>
        <v>0</v>
      </c>
      <c r="R81" s="43">
        <v>10</v>
      </c>
      <c r="S81" s="44">
        <f aca="true" t="shared" si="40" ref="S81:S89">H46*$E$50</f>
        <v>0</v>
      </c>
      <c r="T81" s="56">
        <f aca="true" t="shared" si="41" ref="T81:T89">R81*S81*$E$24</f>
        <v>0</v>
      </c>
      <c r="U81" s="89">
        <f aca="true" t="shared" si="42" ref="U81:U90">IF(T81&lt;=Q81,0,100*(T81/Q81)^(3/2))+IF(T81&gt;=Q81,0,100*(Q81/T81)^(3/2))</f>
        <v>0</v>
      </c>
    </row>
    <row r="82" spans="11:21" s="41" customFormat="1" ht="12.75" customHeight="1">
      <c r="K82" s="42"/>
      <c r="M82" s="45" t="s">
        <v>13</v>
      </c>
      <c r="N82" s="46">
        <f t="shared" si="37"/>
        <v>0</v>
      </c>
      <c r="O82" s="46">
        <f t="shared" si="38"/>
        <v>0</v>
      </c>
      <c r="P82" s="47"/>
      <c r="Q82" s="47">
        <f t="shared" si="39"/>
        <v>0</v>
      </c>
      <c r="R82" s="48">
        <v>40</v>
      </c>
      <c r="S82" s="49">
        <f t="shared" si="40"/>
        <v>0</v>
      </c>
      <c r="T82" s="57">
        <f t="shared" si="41"/>
        <v>0</v>
      </c>
      <c r="U82" s="89">
        <f t="shared" si="42"/>
        <v>0</v>
      </c>
    </row>
    <row r="83" spans="11:21" s="41" customFormat="1" ht="12.75" customHeight="1">
      <c r="K83" s="42"/>
      <c r="M83" s="45" t="s">
        <v>14</v>
      </c>
      <c r="N83" s="46">
        <f t="shared" si="37"/>
        <v>0</v>
      </c>
      <c r="O83" s="46">
        <f t="shared" si="38"/>
        <v>0</v>
      </c>
      <c r="P83" s="47"/>
      <c r="Q83" s="47">
        <f t="shared" si="39"/>
        <v>0</v>
      </c>
      <c r="R83" s="48">
        <v>58</v>
      </c>
      <c r="S83" s="49">
        <f t="shared" si="40"/>
        <v>0</v>
      </c>
      <c r="T83" s="57">
        <f t="shared" si="41"/>
        <v>0</v>
      </c>
      <c r="U83" s="89">
        <f t="shared" si="42"/>
        <v>0</v>
      </c>
    </row>
    <row r="84" spans="11:21" s="41" customFormat="1" ht="12.75" customHeight="1">
      <c r="K84" s="42"/>
      <c r="M84" s="45" t="s">
        <v>10</v>
      </c>
      <c r="N84" s="46">
        <f t="shared" si="37"/>
        <v>0</v>
      </c>
      <c r="O84" s="46">
        <f t="shared" si="38"/>
        <v>0</v>
      </c>
      <c r="P84" s="47"/>
      <c r="Q84" s="47">
        <f t="shared" si="39"/>
        <v>0</v>
      </c>
      <c r="R84" s="48">
        <v>28</v>
      </c>
      <c r="S84" s="49">
        <f t="shared" si="40"/>
        <v>0</v>
      </c>
      <c r="T84" s="57">
        <f t="shared" si="41"/>
        <v>0</v>
      </c>
      <c r="U84" s="89">
        <f t="shared" si="42"/>
        <v>0</v>
      </c>
    </row>
    <row r="85" spans="11:21" s="41" customFormat="1" ht="12.75" customHeight="1">
      <c r="K85" s="42"/>
      <c r="M85" s="45" t="s">
        <v>7</v>
      </c>
      <c r="N85" s="46">
        <f t="shared" si="37"/>
        <v>165.32663316582915</v>
      </c>
      <c r="O85" s="46">
        <f t="shared" si="38"/>
        <v>25212.311557788944</v>
      </c>
      <c r="P85" s="47"/>
      <c r="Q85" s="47">
        <f t="shared" si="39"/>
        <v>25212.311557788944</v>
      </c>
      <c r="R85" s="48">
        <v>100</v>
      </c>
      <c r="S85" s="49">
        <f t="shared" si="40"/>
        <v>92.55595371510532</v>
      </c>
      <c r="T85" s="57">
        <f t="shared" si="41"/>
        <v>9255.595371510532</v>
      </c>
      <c r="U85" s="89">
        <f t="shared" si="42"/>
        <v>449.5856672247118</v>
      </c>
    </row>
    <row r="86" spans="11:21" s="41" customFormat="1" ht="12.75" customHeight="1">
      <c r="K86" s="42"/>
      <c r="M86" s="45" t="s">
        <v>15</v>
      </c>
      <c r="N86" s="46">
        <f t="shared" si="37"/>
        <v>69.34673366834171</v>
      </c>
      <c r="O86" s="46">
        <f t="shared" si="38"/>
        <v>10575.37688442211</v>
      </c>
      <c r="P86" s="47"/>
      <c r="Q86" s="47">
        <f t="shared" si="39"/>
        <v>10575.37688442211</v>
      </c>
      <c r="R86" s="48">
        <v>145</v>
      </c>
      <c r="S86" s="49">
        <f t="shared" si="40"/>
        <v>38.822862044633844</v>
      </c>
      <c r="T86" s="57">
        <f t="shared" si="41"/>
        <v>5629.314996471908</v>
      </c>
      <c r="U86" s="89">
        <f t="shared" si="42"/>
        <v>257.4900515175175</v>
      </c>
    </row>
    <row r="87" spans="11:21" s="41" customFormat="1" ht="12.75" customHeight="1">
      <c r="K87" s="42"/>
      <c r="M87" s="45" t="s">
        <v>11</v>
      </c>
      <c r="N87" s="46">
        <f t="shared" si="37"/>
        <v>165.32663316582915</v>
      </c>
      <c r="O87" s="46">
        <f t="shared" si="38"/>
        <v>25212.311557788944</v>
      </c>
      <c r="P87" s="47"/>
      <c r="Q87" s="47">
        <f t="shared" si="39"/>
        <v>25212.311557788944</v>
      </c>
      <c r="R87" s="48">
        <v>70</v>
      </c>
      <c r="S87" s="49">
        <f t="shared" si="40"/>
        <v>92.55595371510532</v>
      </c>
      <c r="T87" s="57">
        <f t="shared" si="41"/>
        <v>6478.916760057372</v>
      </c>
      <c r="U87" s="89">
        <f t="shared" si="42"/>
        <v>767.6537883052396</v>
      </c>
    </row>
    <row r="88" spans="11:21" s="41" customFormat="1" ht="12.75" customHeight="1">
      <c r="K88" s="42"/>
      <c r="M88" s="45" t="s">
        <v>8</v>
      </c>
      <c r="N88" s="46">
        <f t="shared" si="37"/>
        <v>0</v>
      </c>
      <c r="O88" s="46">
        <f t="shared" si="38"/>
        <v>0</v>
      </c>
      <c r="P88" s="47"/>
      <c r="Q88" s="47">
        <f t="shared" si="39"/>
        <v>0</v>
      </c>
      <c r="R88" s="48">
        <v>10</v>
      </c>
      <c r="S88" s="49">
        <f t="shared" si="40"/>
        <v>0</v>
      </c>
      <c r="T88" s="57">
        <f t="shared" si="41"/>
        <v>0</v>
      </c>
      <c r="U88" s="89">
        <f t="shared" si="42"/>
        <v>0</v>
      </c>
    </row>
    <row r="89" spans="11:21" s="41" customFormat="1" ht="12.75" customHeight="1" thickBot="1">
      <c r="K89" s="42"/>
      <c r="M89" s="50" t="s">
        <v>16</v>
      </c>
      <c r="N89" s="87">
        <f t="shared" si="37"/>
        <v>0</v>
      </c>
      <c r="O89" s="87">
        <f t="shared" si="38"/>
        <v>0</v>
      </c>
      <c r="P89" s="88"/>
      <c r="Q89" s="88">
        <f t="shared" si="39"/>
        <v>0</v>
      </c>
      <c r="R89" s="51">
        <v>10</v>
      </c>
      <c r="S89" s="52">
        <f t="shared" si="40"/>
        <v>0</v>
      </c>
      <c r="T89" s="58">
        <f t="shared" si="41"/>
        <v>0</v>
      </c>
      <c r="U89" s="89">
        <f t="shared" si="42"/>
        <v>0</v>
      </c>
    </row>
    <row r="90" spans="11:21" s="41" customFormat="1" ht="12.75" customHeight="1" thickBot="1">
      <c r="K90" s="42"/>
      <c r="M90" s="53" t="s">
        <v>18</v>
      </c>
      <c r="N90" s="131"/>
      <c r="O90" s="71">
        <f>SUM(O81:O89)</f>
        <v>61000</v>
      </c>
      <c r="P90" s="71"/>
      <c r="Q90" s="132">
        <f>SUM(Q81:Q89)</f>
        <v>61000</v>
      </c>
      <c r="R90" s="133"/>
      <c r="S90" s="134">
        <f>SUM(S81:S89)</f>
        <v>223.93476947484447</v>
      </c>
      <c r="T90" s="135">
        <f>SUM(T81:T89)</f>
        <v>21363.82712803981</v>
      </c>
      <c r="U90" s="136">
        <f t="shared" si="42"/>
        <v>482.476505434155</v>
      </c>
    </row>
    <row r="91" spans="11:21" s="41" customFormat="1" ht="12.75" customHeight="1" thickBot="1">
      <c r="K91" s="42"/>
      <c r="M91" s="199" t="s">
        <v>79</v>
      </c>
      <c r="N91" s="91" t="s">
        <v>65</v>
      </c>
      <c r="O91" s="91" t="s">
        <v>37</v>
      </c>
      <c r="P91" s="92" t="s">
        <v>22</v>
      </c>
      <c r="Q91" s="92" t="s">
        <v>53</v>
      </c>
      <c r="R91" s="92" t="s">
        <v>27</v>
      </c>
      <c r="S91" s="92" t="s">
        <v>28</v>
      </c>
      <c r="T91" s="93" t="s">
        <v>17</v>
      </c>
      <c r="U91" s="94"/>
    </row>
    <row r="92" spans="11:21" s="41" customFormat="1" ht="12.75" customHeight="1">
      <c r="K92" s="42"/>
      <c r="M92" s="90" t="s">
        <v>12</v>
      </c>
      <c r="N92" s="54">
        <f aca="true" t="shared" si="43" ref="N92:N100">$C$17*I46</f>
        <v>0</v>
      </c>
      <c r="O92" s="54">
        <f aca="true" t="shared" si="44" ref="O92:O100">$C$51*I46</f>
        <v>0</v>
      </c>
      <c r="P92" s="55"/>
      <c r="Q92" s="55">
        <f aca="true" t="shared" si="45" ref="Q92:Q100">O92</f>
        <v>0</v>
      </c>
      <c r="R92" s="43">
        <v>10</v>
      </c>
      <c r="S92" s="44">
        <f aca="true" t="shared" si="46" ref="S92:S100">H46*$E$51</f>
        <v>0</v>
      </c>
      <c r="T92" s="56">
        <f aca="true" t="shared" si="47" ref="T92:T100">R92*S92*$E$24</f>
        <v>0</v>
      </c>
      <c r="U92" s="89">
        <f aca="true" t="shared" si="48" ref="U92:U100">IF(T92&lt;=Q92,0,100*(T92/Q92)^(3/2))+IF(T92&gt;=Q92,0,100*(Q92/T92)^(3/2))</f>
        <v>0</v>
      </c>
    </row>
    <row r="93" spans="11:21" s="41" customFormat="1" ht="12.75" customHeight="1">
      <c r="K93" s="42"/>
      <c r="M93" s="45" t="s">
        <v>13</v>
      </c>
      <c r="N93" s="46">
        <f t="shared" si="43"/>
        <v>0</v>
      </c>
      <c r="O93" s="46">
        <f t="shared" si="44"/>
        <v>0</v>
      </c>
      <c r="P93" s="47"/>
      <c r="Q93" s="47">
        <f t="shared" si="45"/>
        <v>0</v>
      </c>
      <c r="R93" s="48">
        <v>25</v>
      </c>
      <c r="S93" s="49">
        <f t="shared" si="46"/>
        <v>0</v>
      </c>
      <c r="T93" s="57">
        <f t="shared" si="47"/>
        <v>0</v>
      </c>
      <c r="U93" s="89">
        <f t="shared" si="48"/>
        <v>0</v>
      </c>
    </row>
    <row r="94" spans="11:21" s="41" customFormat="1" ht="12.75" customHeight="1">
      <c r="K94" s="42"/>
      <c r="M94" s="45" t="s">
        <v>14</v>
      </c>
      <c r="N94" s="46">
        <f t="shared" si="43"/>
        <v>0</v>
      </c>
      <c r="O94" s="46">
        <f t="shared" si="44"/>
        <v>0</v>
      </c>
      <c r="P94" s="47"/>
      <c r="Q94" s="47">
        <f t="shared" si="45"/>
        <v>0</v>
      </c>
      <c r="R94" s="48">
        <v>42</v>
      </c>
      <c r="S94" s="49">
        <f t="shared" si="46"/>
        <v>0</v>
      </c>
      <c r="T94" s="57">
        <f t="shared" si="47"/>
        <v>0</v>
      </c>
      <c r="U94" s="89">
        <f t="shared" si="48"/>
        <v>0</v>
      </c>
    </row>
    <row r="95" spans="11:21" s="41" customFormat="1" ht="12.75" customHeight="1">
      <c r="K95" s="42"/>
      <c r="M95" s="45" t="s">
        <v>10</v>
      </c>
      <c r="N95" s="46">
        <f t="shared" si="43"/>
        <v>0</v>
      </c>
      <c r="O95" s="46">
        <f t="shared" si="44"/>
        <v>0</v>
      </c>
      <c r="P95" s="47"/>
      <c r="Q95" s="47">
        <f t="shared" si="45"/>
        <v>0</v>
      </c>
      <c r="R95" s="48">
        <v>60</v>
      </c>
      <c r="S95" s="49">
        <f t="shared" si="46"/>
        <v>0</v>
      </c>
      <c r="T95" s="57">
        <f t="shared" si="47"/>
        <v>0</v>
      </c>
      <c r="U95" s="89">
        <f t="shared" si="48"/>
        <v>0</v>
      </c>
    </row>
    <row r="96" spans="11:21" s="41" customFormat="1" ht="12.75" customHeight="1">
      <c r="K96" s="42"/>
      <c r="M96" s="45" t="s">
        <v>7</v>
      </c>
      <c r="N96" s="46">
        <f t="shared" si="43"/>
        <v>165.32663316582915</v>
      </c>
      <c r="O96" s="46">
        <f t="shared" si="44"/>
        <v>27861.670854271357</v>
      </c>
      <c r="P96" s="47"/>
      <c r="Q96" s="47">
        <f t="shared" si="45"/>
        <v>27861.670854271357</v>
      </c>
      <c r="R96" s="48">
        <v>63</v>
      </c>
      <c r="S96" s="49">
        <f t="shared" si="46"/>
        <v>102.28191540877457</v>
      </c>
      <c r="T96" s="57">
        <f t="shared" si="47"/>
        <v>6443.7606707527975</v>
      </c>
      <c r="U96" s="89">
        <f t="shared" si="48"/>
        <v>899.0868242597354</v>
      </c>
    </row>
    <row r="97" spans="11:21" s="41" customFormat="1" ht="12.75" customHeight="1">
      <c r="K97" s="42"/>
      <c r="M97" s="45" t="s">
        <v>15</v>
      </c>
      <c r="N97" s="46">
        <f t="shared" si="43"/>
        <v>69.34673366834171</v>
      </c>
      <c r="O97" s="46">
        <f t="shared" si="44"/>
        <v>11686.658291457286</v>
      </c>
      <c r="P97" s="47"/>
      <c r="Q97" s="47">
        <f t="shared" si="45"/>
        <v>11686.658291457286</v>
      </c>
      <c r="R97" s="48">
        <v>105</v>
      </c>
      <c r="S97" s="49">
        <f t="shared" si="46"/>
        <v>42.90244476112733</v>
      </c>
      <c r="T97" s="57">
        <f t="shared" si="47"/>
        <v>4504.756699918369</v>
      </c>
      <c r="U97" s="89">
        <f t="shared" si="48"/>
        <v>417.85779565829654</v>
      </c>
    </row>
    <row r="98" spans="11:21" s="41" customFormat="1" ht="12.75" customHeight="1">
      <c r="K98" s="42"/>
      <c r="M98" s="45" t="s">
        <v>11</v>
      </c>
      <c r="N98" s="46">
        <f t="shared" si="43"/>
        <v>165.32663316582915</v>
      </c>
      <c r="O98" s="46">
        <f t="shared" si="44"/>
        <v>27861.670854271357</v>
      </c>
      <c r="P98" s="47"/>
      <c r="Q98" s="47">
        <f t="shared" si="45"/>
        <v>27861.670854271357</v>
      </c>
      <c r="R98" s="48">
        <v>150</v>
      </c>
      <c r="S98" s="49">
        <f t="shared" si="46"/>
        <v>102.28191540877457</v>
      </c>
      <c r="T98" s="57">
        <f t="shared" si="47"/>
        <v>15342.287311316184</v>
      </c>
      <c r="U98" s="89">
        <f t="shared" si="48"/>
        <v>244.72344008205846</v>
      </c>
    </row>
    <row r="99" spans="11:21" s="41" customFormat="1" ht="12.75" customHeight="1">
      <c r="K99" s="42"/>
      <c r="M99" s="45" t="s">
        <v>8</v>
      </c>
      <c r="N99" s="46">
        <f t="shared" si="43"/>
        <v>0</v>
      </c>
      <c r="O99" s="46">
        <f t="shared" si="44"/>
        <v>0</v>
      </c>
      <c r="P99" s="47"/>
      <c r="Q99" s="47">
        <f t="shared" si="45"/>
        <v>0</v>
      </c>
      <c r="R99" s="48">
        <v>5</v>
      </c>
      <c r="S99" s="49">
        <f t="shared" si="46"/>
        <v>0</v>
      </c>
      <c r="T99" s="57">
        <f t="shared" si="47"/>
        <v>0</v>
      </c>
      <c r="U99" s="89">
        <f t="shared" si="48"/>
        <v>0</v>
      </c>
    </row>
    <row r="100" spans="11:21" s="41" customFormat="1" ht="12.75" customHeight="1" thickBot="1">
      <c r="K100" s="42"/>
      <c r="M100" s="50" t="s">
        <v>16</v>
      </c>
      <c r="N100" s="87">
        <f t="shared" si="43"/>
        <v>0</v>
      </c>
      <c r="O100" s="87">
        <f t="shared" si="44"/>
        <v>0</v>
      </c>
      <c r="P100" s="88"/>
      <c r="Q100" s="88">
        <f t="shared" si="45"/>
        <v>0</v>
      </c>
      <c r="R100" s="51">
        <v>40</v>
      </c>
      <c r="S100" s="52">
        <f t="shared" si="46"/>
        <v>0</v>
      </c>
      <c r="T100" s="58">
        <f t="shared" si="47"/>
        <v>0</v>
      </c>
      <c r="U100" s="89">
        <f t="shared" si="48"/>
        <v>0</v>
      </c>
    </row>
    <row r="101" spans="11:21" s="41" customFormat="1" ht="12.75" customHeight="1" thickBot="1">
      <c r="K101" s="42"/>
      <c r="M101" s="53" t="s">
        <v>18</v>
      </c>
      <c r="N101" s="131"/>
      <c r="O101" s="71">
        <f>SUM(O92:O100)</f>
        <v>67410</v>
      </c>
      <c r="P101" s="71"/>
      <c r="Q101" s="132">
        <f>SUM(Q92:Q100)</f>
        <v>67410</v>
      </c>
      <c r="R101" s="133"/>
      <c r="S101" s="134">
        <f>SUM(S92:S100)</f>
        <v>247.46627557867646</v>
      </c>
      <c r="T101" s="135">
        <f>SUM(T92:T100)</f>
        <v>26290.80468198735</v>
      </c>
      <c r="U101" s="136">
        <f>IF(T101&lt;=Q101,0,100*(T101/Q101)^(3/2))+IF(T101&gt;=Q101,0,100*(Q101/T101)^(3/2))</f>
        <v>410.56381723295664</v>
      </c>
    </row>
    <row r="102" spans="11:21" s="41" customFormat="1" ht="12.75" customHeight="1" thickBot="1">
      <c r="K102" s="42"/>
      <c r="M102" s="199" t="s">
        <v>82</v>
      </c>
      <c r="N102" s="91" t="s">
        <v>65</v>
      </c>
      <c r="O102" s="91" t="s">
        <v>37</v>
      </c>
      <c r="P102" s="92" t="s">
        <v>22</v>
      </c>
      <c r="Q102" s="92" t="s">
        <v>53</v>
      </c>
      <c r="R102" s="92" t="s">
        <v>27</v>
      </c>
      <c r="S102" s="92" t="s">
        <v>28</v>
      </c>
      <c r="T102" s="93" t="s">
        <v>17</v>
      </c>
      <c r="U102" s="94"/>
    </row>
    <row r="103" spans="11:21" s="41" customFormat="1" ht="12.75" customHeight="1">
      <c r="K103" s="42"/>
      <c r="M103" s="90" t="s">
        <v>12</v>
      </c>
      <c r="N103" s="54">
        <f aca="true" t="shared" si="49" ref="N103:N111">$C$18*I46</f>
        <v>0</v>
      </c>
      <c r="O103" s="54">
        <f aca="true" t="shared" si="50" ref="O103:O111">$C$52*I46</f>
        <v>0</v>
      </c>
      <c r="P103" s="55"/>
      <c r="Q103" s="55">
        <f aca="true" t="shared" si="51" ref="Q103:Q111">O103</f>
        <v>0</v>
      </c>
      <c r="R103" s="43">
        <v>10</v>
      </c>
      <c r="S103" s="44">
        <f aca="true" t="shared" si="52" ref="S103:S111">H46*$E$52</f>
        <v>0</v>
      </c>
      <c r="T103" s="56">
        <f aca="true" t="shared" si="53" ref="T103:T111">R103*S103*$E$24</f>
        <v>0</v>
      </c>
      <c r="U103" s="95">
        <f aca="true" t="shared" si="54" ref="U103:U112">IF(T103&lt;=Q103,0,100*(T103/Q103)^(3/2))+IF(T103&gt;=Q103,0,100*(Q103/T103)^(3/2))</f>
        <v>0</v>
      </c>
    </row>
    <row r="104" spans="11:21" s="41" customFormat="1" ht="12.75" customHeight="1">
      <c r="K104" s="42"/>
      <c r="M104" s="45" t="s">
        <v>13</v>
      </c>
      <c r="N104" s="46">
        <f t="shared" si="49"/>
        <v>0</v>
      </c>
      <c r="O104" s="46">
        <f t="shared" si="50"/>
        <v>0</v>
      </c>
      <c r="P104" s="47"/>
      <c r="Q104" s="47">
        <f t="shared" si="51"/>
        <v>0</v>
      </c>
      <c r="R104" s="48">
        <v>55</v>
      </c>
      <c r="S104" s="49">
        <f t="shared" si="52"/>
        <v>0</v>
      </c>
      <c r="T104" s="57">
        <f t="shared" si="53"/>
        <v>0</v>
      </c>
      <c r="U104" s="95">
        <f t="shared" si="54"/>
        <v>0</v>
      </c>
    </row>
    <row r="105" spans="11:21" s="41" customFormat="1" ht="12.75" customHeight="1">
      <c r="K105" s="42"/>
      <c r="M105" s="45" t="s">
        <v>14</v>
      </c>
      <c r="N105" s="46">
        <f t="shared" si="49"/>
        <v>0</v>
      </c>
      <c r="O105" s="46">
        <f t="shared" si="50"/>
        <v>0</v>
      </c>
      <c r="P105" s="47"/>
      <c r="Q105" s="47">
        <f t="shared" si="51"/>
        <v>0</v>
      </c>
      <c r="R105" s="48">
        <v>26</v>
      </c>
      <c r="S105" s="49">
        <f t="shared" si="52"/>
        <v>0</v>
      </c>
      <c r="T105" s="57">
        <f t="shared" si="53"/>
        <v>0</v>
      </c>
      <c r="U105" s="95">
        <f t="shared" si="54"/>
        <v>0</v>
      </c>
    </row>
    <row r="106" spans="11:21" s="41" customFormat="1" ht="12.75" customHeight="1">
      <c r="K106" s="42"/>
      <c r="M106" s="45" t="s">
        <v>10</v>
      </c>
      <c r="N106" s="46">
        <f t="shared" si="49"/>
        <v>0</v>
      </c>
      <c r="O106" s="46">
        <f t="shared" si="50"/>
        <v>0</v>
      </c>
      <c r="P106" s="47"/>
      <c r="Q106" s="47">
        <f t="shared" si="51"/>
        <v>0</v>
      </c>
      <c r="R106" s="48">
        <v>44</v>
      </c>
      <c r="S106" s="49">
        <f t="shared" si="52"/>
        <v>0</v>
      </c>
      <c r="T106" s="57">
        <f t="shared" si="53"/>
        <v>0</v>
      </c>
      <c r="U106" s="95">
        <f t="shared" si="54"/>
        <v>0</v>
      </c>
    </row>
    <row r="107" spans="11:21" s="41" customFormat="1" ht="12.75" customHeight="1">
      <c r="K107" s="42"/>
      <c r="M107" s="45" t="s">
        <v>7</v>
      </c>
      <c r="N107" s="46">
        <f t="shared" si="49"/>
        <v>0</v>
      </c>
      <c r="O107" s="46">
        <f t="shared" si="50"/>
        <v>0</v>
      </c>
      <c r="P107" s="47"/>
      <c r="Q107" s="47">
        <f t="shared" si="51"/>
        <v>0</v>
      </c>
      <c r="R107" s="48">
        <v>137</v>
      </c>
      <c r="S107" s="49">
        <f t="shared" si="52"/>
        <v>0</v>
      </c>
      <c r="T107" s="57">
        <f t="shared" si="53"/>
        <v>0</v>
      </c>
      <c r="U107" s="95">
        <f t="shared" si="54"/>
        <v>0</v>
      </c>
    </row>
    <row r="108" spans="11:21" s="41" customFormat="1" ht="12.75" customHeight="1">
      <c r="K108" s="42"/>
      <c r="M108" s="45" t="s">
        <v>15</v>
      </c>
      <c r="N108" s="46">
        <f t="shared" si="49"/>
        <v>0</v>
      </c>
      <c r="O108" s="46">
        <f t="shared" si="50"/>
        <v>0</v>
      </c>
      <c r="P108" s="47"/>
      <c r="Q108" s="47">
        <f t="shared" si="51"/>
        <v>0</v>
      </c>
      <c r="R108" s="48">
        <v>65</v>
      </c>
      <c r="S108" s="49">
        <f t="shared" si="52"/>
        <v>0</v>
      </c>
      <c r="T108" s="57">
        <f t="shared" si="53"/>
        <v>0</v>
      </c>
      <c r="U108" s="95">
        <f t="shared" si="54"/>
        <v>0</v>
      </c>
    </row>
    <row r="109" spans="11:21" ht="12.75" customHeight="1">
      <c r="K109" s="1"/>
      <c r="M109" s="45" t="s">
        <v>11</v>
      </c>
      <c r="N109" s="46">
        <f t="shared" si="49"/>
        <v>0</v>
      </c>
      <c r="O109" s="46">
        <f t="shared" si="50"/>
        <v>0</v>
      </c>
      <c r="P109" s="47"/>
      <c r="Q109" s="47">
        <f t="shared" si="51"/>
        <v>0</v>
      </c>
      <c r="R109" s="48">
        <v>110</v>
      </c>
      <c r="S109" s="49">
        <f t="shared" si="52"/>
        <v>0</v>
      </c>
      <c r="T109" s="57">
        <f t="shared" si="53"/>
        <v>0</v>
      </c>
      <c r="U109" s="95">
        <f t="shared" si="54"/>
        <v>0</v>
      </c>
    </row>
    <row r="110" spans="11:21" ht="12.75" customHeight="1">
      <c r="K110" s="1"/>
      <c r="M110" s="45" t="s">
        <v>8</v>
      </c>
      <c r="N110" s="46">
        <f t="shared" si="49"/>
        <v>0</v>
      </c>
      <c r="O110" s="46">
        <f t="shared" si="50"/>
        <v>0</v>
      </c>
      <c r="P110" s="47"/>
      <c r="Q110" s="47">
        <f t="shared" si="51"/>
        <v>0</v>
      </c>
      <c r="R110" s="48">
        <v>5</v>
      </c>
      <c r="S110" s="49">
        <f t="shared" si="52"/>
        <v>0</v>
      </c>
      <c r="T110" s="57">
        <f t="shared" si="53"/>
        <v>0</v>
      </c>
      <c r="U110" s="95">
        <f t="shared" si="54"/>
        <v>0</v>
      </c>
    </row>
    <row r="111" spans="11:21" ht="12.75" customHeight="1" thickBot="1">
      <c r="K111" s="1"/>
      <c r="M111" s="50" t="s">
        <v>16</v>
      </c>
      <c r="N111" s="87">
        <f t="shared" si="49"/>
        <v>0</v>
      </c>
      <c r="O111" s="87">
        <f t="shared" si="50"/>
        <v>0</v>
      </c>
      <c r="P111" s="88"/>
      <c r="Q111" s="88">
        <f t="shared" si="51"/>
        <v>0</v>
      </c>
      <c r="R111" s="51">
        <v>20</v>
      </c>
      <c r="S111" s="52">
        <f t="shared" si="52"/>
        <v>0</v>
      </c>
      <c r="T111" s="58">
        <f t="shared" si="53"/>
        <v>0</v>
      </c>
      <c r="U111" s="95">
        <f t="shared" si="54"/>
        <v>0</v>
      </c>
    </row>
    <row r="112" spans="11:21" ht="14.25" customHeight="1" thickBot="1">
      <c r="K112" s="1"/>
      <c r="M112" s="53" t="s">
        <v>18</v>
      </c>
      <c r="N112" s="131"/>
      <c r="O112" s="71">
        <f>SUM(O103:O111)</f>
        <v>0</v>
      </c>
      <c r="P112" s="71"/>
      <c r="Q112" s="132">
        <f>SUM(Q103:Q111)</f>
        <v>0</v>
      </c>
      <c r="R112" s="133"/>
      <c r="S112" s="134">
        <f>SUM(S103:S111)</f>
        <v>0</v>
      </c>
      <c r="T112" s="135">
        <f>SUM(T103:T111)</f>
        <v>0</v>
      </c>
      <c r="U112" s="137">
        <f t="shared" si="54"/>
        <v>0</v>
      </c>
    </row>
    <row r="113" spans="11:21" ht="14.25" customHeight="1" thickBot="1">
      <c r="K113" s="1"/>
      <c r="M113" s="59"/>
      <c r="N113" s="70">
        <f>O46+O57+O68+O79</f>
        <v>85050</v>
      </c>
      <c r="O113" s="60">
        <f>P46+P57+P68+P79</f>
        <v>3371</v>
      </c>
      <c r="P113" s="60">
        <f>Q46+Q57+Q68+Q79</f>
        <v>88421</v>
      </c>
      <c r="Q113" s="61">
        <f>Q46+Q57+Q68+Q79+Q90+Q101+Q112</f>
        <v>216831</v>
      </c>
      <c r="R113" s="60"/>
      <c r="S113" s="60">
        <f>T46+T57+T68+T79</f>
        <v>66123.16569125264</v>
      </c>
      <c r="T113" s="68">
        <f>T46+T57+T68+T79+T90+T101+T112</f>
        <v>113777.7975012798</v>
      </c>
      <c r="U113" s="96">
        <f>IF($T$113&gt;=$Q$113,0,100*(T113/Q113)^(3/2))+IF($T$113&lt;=$Q$113,0,100*(Q113/T113)^(3/2))</f>
        <v>38.01055620433269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11:22" ht="12.75" customHeight="1">
      <c r="K117" s="7"/>
      <c r="L117" s="1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1:22" ht="12.75" customHeight="1">
      <c r="K118" s="7"/>
      <c r="L118" s="7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1:22" ht="12.75" customHeight="1">
      <c r="K119" s="7"/>
      <c r="L119" s="7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1:23" ht="12.75" customHeight="1">
      <c r="K120" s="7"/>
      <c r="L120" s="7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</row>
    <row r="121" spans="11:23" ht="12.75" customHeight="1">
      <c r="K121" s="7"/>
      <c r="L121" s="7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</row>
    <row r="122" spans="11:23" ht="12.75" customHeight="1">
      <c r="K122" s="7"/>
      <c r="L122" s="7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</row>
    <row r="123" spans="11:23" ht="12.75" customHeight="1">
      <c r="K123" s="7"/>
      <c r="L123" s="7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</row>
    <row r="124" spans="11:23" ht="12.75" customHeight="1">
      <c r="K124" s="7"/>
      <c r="L124" s="7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</row>
    <row r="125" spans="11:23" ht="12.75" customHeight="1">
      <c r="K125" s="7"/>
      <c r="L125" s="7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</row>
    <row r="126" spans="11:23" ht="12.75" customHeight="1">
      <c r="K126" s="7"/>
      <c r="L126" s="1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</row>
    <row r="127" spans="11:23" ht="12.75" customHeight="1">
      <c r="K127" s="7"/>
      <c r="L127" s="1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</row>
    <row r="128" spans="11:23" ht="12.75" customHeight="1">
      <c r="K128" s="7"/>
      <c r="L128" s="7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1:23" ht="12.75" customHeight="1">
      <c r="K129" s="7"/>
      <c r="L129" s="7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</row>
    <row r="130" spans="11:23" ht="12.75" customHeight="1">
      <c r="K130" s="7"/>
      <c r="L130" s="7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</row>
    <row r="131" spans="11:23" ht="12.75" customHeight="1">
      <c r="K131" s="7"/>
      <c r="L131" s="7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</row>
    <row r="132" spans="11:23" ht="12.75" customHeight="1">
      <c r="K132" s="7"/>
      <c r="L132" s="7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</row>
    <row r="133" spans="11:23" ht="12.75" customHeight="1">
      <c r="K133" s="7"/>
      <c r="L133" s="7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</row>
    <row r="134" spans="11:23" ht="12.75" customHeight="1">
      <c r="K134" s="7"/>
      <c r="L134" s="7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</row>
    <row r="135" spans="11:23" ht="12.75" customHeight="1">
      <c r="K135" s="7"/>
      <c r="L135" s="7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</row>
    <row r="136" spans="11:23" ht="12.75" customHeight="1">
      <c r="K136" s="7"/>
      <c r="L136" s="7"/>
      <c r="U136" s="62"/>
      <c r="V136" s="62"/>
      <c r="W136" s="62"/>
    </row>
    <row r="137" spans="2:23" ht="12.75" customHeight="1">
      <c r="B137" s="241" t="s">
        <v>58</v>
      </c>
      <c r="C137" s="242"/>
      <c r="D137" s="243"/>
      <c r="K137" s="7"/>
      <c r="L137" s="1"/>
      <c r="U137" s="62"/>
      <c r="V137" s="62"/>
      <c r="W137" s="62"/>
    </row>
    <row r="138" spans="2:23" ht="12.75" customHeight="1">
      <c r="B138" s="244"/>
      <c r="C138" s="245"/>
      <c r="D138" s="246"/>
      <c r="K138" s="7"/>
      <c r="L138" s="1"/>
      <c r="U138" s="62"/>
      <c r="V138" s="62"/>
      <c r="W138" s="62"/>
    </row>
    <row r="139" spans="11:23" ht="12.75" customHeight="1">
      <c r="K139" s="7"/>
      <c r="L139" s="7"/>
      <c r="U139" s="62"/>
      <c r="V139" s="62"/>
      <c r="W139" s="62"/>
    </row>
    <row r="140" spans="2:23" ht="12.75" customHeight="1">
      <c r="B140" s="203" t="s">
        <v>67</v>
      </c>
      <c r="C140" s="204"/>
      <c r="D140" s="204"/>
      <c r="E140" s="204"/>
      <c r="F140" s="204"/>
      <c r="G140" s="204"/>
      <c r="H140" s="204"/>
      <c r="I140" s="204"/>
      <c r="J140" s="205"/>
      <c r="K140" s="7"/>
      <c r="L140" s="7"/>
      <c r="M140" s="218" t="s">
        <v>68</v>
      </c>
      <c r="N140" s="218"/>
      <c r="O140" s="218"/>
      <c r="P140" s="218"/>
      <c r="Q140" s="218"/>
      <c r="R140" s="218"/>
      <c r="S140" s="218"/>
      <c r="T140" s="218"/>
      <c r="U140" s="62"/>
      <c r="V140" s="62"/>
      <c r="W140" s="62"/>
    </row>
    <row r="141" spans="2:23" ht="12.75" customHeight="1">
      <c r="B141" s="3"/>
      <c r="C141" s="3" t="s">
        <v>25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19</v>
      </c>
      <c r="I141" s="3" t="s">
        <v>79</v>
      </c>
      <c r="J141" s="3" t="s">
        <v>20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9" t="s">
        <v>19</v>
      </c>
      <c r="S141" s="99" t="s">
        <v>50</v>
      </c>
      <c r="T141" s="99" t="s">
        <v>20</v>
      </c>
      <c r="U141" s="62"/>
      <c r="V141" s="62"/>
      <c r="W141" s="62"/>
    </row>
    <row r="142" spans="2:38" ht="12.75" customHeight="1">
      <c r="B142" s="3">
        <v>0</v>
      </c>
      <c r="C142" s="3"/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111"/>
      <c r="M142" s="97" t="s">
        <v>69</v>
      </c>
      <c r="N142" s="3">
        <v>10</v>
      </c>
      <c r="O142" s="3">
        <v>88</v>
      </c>
      <c r="P142" s="3">
        <v>144</v>
      </c>
      <c r="Q142" s="3">
        <v>0</v>
      </c>
      <c r="R142" s="99">
        <v>264</v>
      </c>
      <c r="S142" s="99">
        <v>432</v>
      </c>
      <c r="T142" s="99">
        <v>0</v>
      </c>
      <c r="U142" s="62"/>
      <c r="V142" s="62"/>
      <c r="W142" s="62"/>
      <c r="X142" s="62"/>
      <c r="Y142" s="62"/>
      <c r="Z142" s="62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v>1.1</v>
      </c>
      <c r="E143" s="3">
        <v>1.05</v>
      </c>
      <c r="F143" s="3">
        <v>1.05</v>
      </c>
      <c r="G143" s="3">
        <v>1.05</v>
      </c>
      <c r="H143" s="3">
        <v>1.04</v>
      </c>
      <c r="I143" s="3">
        <v>1.04</v>
      </c>
      <c r="J143" s="3">
        <v>1.04</v>
      </c>
      <c r="K143" s="1"/>
      <c r="M143" s="97" t="s">
        <v>70</v>
      </c>
      <c r="N143" s="3">
        <v>0</v>
      </c>
      <c r="O143" s="3">
        <v>132</v>
      </c>
      <c r="P143" s="3">
        <v>0</v>
      </c>
      <c r="Q143" s="3">
        <v>128</v>
      </c>
      <c r="R143" s="99">
        <v>396</v>
      </c>
      <c r="S143" s="99">
        <v>0</v>
      </c>
      <c r="T143" s="99">
        <v>384</v>
      </c>
      <c r="U143" s="40"/>
      <c r="V143" s="62"/>
      <c r="W143" s="62"/>
      <c r="X143" s="62"/>
      <c r="Y143" s="62"/>
      <c r="Z143" s="62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v>1.2</v>
      </c>
      <c r="E144" s="3">
        <v>1.1</v>
      </c>
      <c r="F144" s="3">
        <v>1.1</v>
      </c>
      <c r="G144" s="3">
        <v>1.1</v>
      </c>
      <c r="H144" s="3">
        <v>1.08</v>
      </c>
      <c r="I144" s="3">
        <v>1.08</v>
      </c>
      <c r="J144" s="3">
        <v>1.08</v>
      </c>
      <c r="K144" s="1"/>
      <c r="M144" s="97" t="s">
        <v>71</v>
      </c>
      <c r="N144" s="3">
        <v>10</v>
      </c>
      <c r="O144" s="3">
        <v>0</v>
      </c>
      <c r="P144" s="3">
        <v>96</v>
      </c>
      <c r="Q144" s="3">
        <v>192</v>
      </c>
      <c r="R144" s="99">
        <v>0</v>
      </c>
      <c r="S144" s="99">
        <v>288</v>
      </c>
      <c r="T144" s="99">
        <v>576</v>
      </c>
      <c r="U144" s="40"/>
      <c r="V144" s="62"/>
      <c r="W144" s="62"/>
      <c r="X144" s="62"/>
      <c r="Y144" s="40"/>
      <c r="Z144" s="40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v>1.3</v>
      </c>
      <c r="E145" s="3">
        <v>1.16</v>
      </c>
      <c r="F145" s="3">
        <v>1.16</v>
      </c>
      <c r="G145" s="3">
        <v>1.16</v>
      </c>
      <c r="H145" s="3">
        <v>1.12</v>
      </c>
      <c r="I145" s="3">
        <v>1.12</v>
      </c>
      <c r="J145" s="3">
        <v>1.12</v>
      </c>
      <c r="K145" s="1"/>
      <c r="M145" s="97" t="s">
        <v>72</v>
      </c>
      <c r="N145" s="3">
        <v>60</v>
      </c>
      <c r="O145" s="3">
        <v>20</v>
      </c>
      <c r="P145" s="3">
        <v>35</v>
      </c>
      <c r="Q145" s="3">
        <v>40</v>
      </c>
      <c r="R145" s="99">
        <v>60</v>
      </c>
      <c r="S145" s="99">
        <v>105</v>
      </c>
      <c r="T145" s="99">
        <v>120</v>
      </c>
      <c r="U145" s="40"/>
      <c r="V145" s="62"/>
      <c r="W145" s="62"/>
      <c r="X145" s="62"/>
      <c r="Y145" s="63"/>
      <c r="Z145" s="63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v>1.4</v>
      </c>
      <c r="E146" s="3">
        <v>1.22</v>
      </c>
      <c r="F146" s="3">
        <v>1.22</v>
      </c>
      <c r="G146" s="3">
        <v>1.22</v>
      </c>
      <c r="H146" s="3">
        <v>1</v>
      </c>
      <c r="I146" s="3">
        <v>1</v>
      </c>
      <c r="J146" s="3">
        <v>1</v>
      </c>
      <c r="K146" s="1"/>
      <c r="M146" s="98" t="s">
        <v>18</v>
      </c>
      <c r="N146" s="3">
        <f>SUM(N142:N145)</f>
        <v>80</v>
      </c>
      <c r="O146" s="3">
        <f aca="true" t="shared" si="55" ref="O146:T146">SUM(O142:O145)</f>
        <v>240</v>
      </c>
      <c r="P146" s="3">
        <f t="shared" si="55"/>
        <v>275</v>
      </c>
      <c r="Q146" s="3">
        <f t="shared" si="55"/>
        <v>360</v>
      </c>
      <c r="R146" s="3">
        <f t="shared" si="55"/>
        <v>720</v>
      </c>
      <c r="S146" s="3">
        <f t="shared" si="55"/>
        <v>825</v>
      </c>
      <c r="T146" s="3">
        <f t="shared" si="55"/>
        <v>1080</v>
      </c>
      <c r="U146" s="40"/>
      <c r="V146" s="62"/>
      <c r="W146" s="62"/>
      <c r="X146" s="62"/>
      <c r="Y146" s="40"/>
      <c r="Z146" s="40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v>1.5</v>
      </c>
      <c r="E147" s="3">
        <v>1.3</v>
      </c>
      <c r="F147" s="3">
        <v>1.3</v>
      </c>
      <c r="G147" s="3">
        <v>1.3</v>
      </c>
      <c r="H147" s="3">
        <v>1</v>
      </c>
      <c r="I147" s="3">
        <v>1</v>
      </c>
      <c r="J147" s="3">
        <v>1</v>
      </c>
      <c r="K147" s="1"/>
      <c r="M147" s="64"/>
      <c r="N147" s="64"/>
      <c r="O147" s="64"/>
      <c r="P147" s="64"/>
      <c r="Q147" s="64"/>
      <c r="R147" s="64"/>
      <c r="S147" s="64"/>
      <c r="T147" s="64"/>
      <c r="U147" s="64"/>
      <c r="V147" s="62"/>
      <c r="W147" s="62"/>
      <c r="X147" s="62"/>
      <c r="Y147" s="40"/>
      <c r="Z147" s="40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v>1.6</v>
      </c>
      <c r="E148" s="3">
        <v>1.38</v>
      </c>
      <c r="F148" s="3">
        <v>1.38</v>
      </c>
      <c r="G148" s="3">
        <v>1.38</v>
      </c>
      <c r="H148" s="3">
        <v>1</v>
      </c>
      <c r="I148" s="3">
        <v>1</v>
      </c>
      <c r="J148" s="3">
        <v>1</v>
      </c>
      <c r="K148" s="1"/>
      <c r="M148" s="64"/>
      <c r="N148" s="64"/>
      <c r="O148" s="64"/>
      <c r="P148" s="64"/>
      <c r="Q148" s="64"/>
      <c r="R148" s="64"/>
      <c r="S148" s="66"/>
      <c r="T148" s="65"/>
      <c r="U148" s="65"/>
      <c r="V148" s="62"/>
      <c r="W148" s="62"/>
      <c r="X148" s="62"/>
      <c r="Y148" s="40"/>
      <c r="Z148" s="40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v>1.75</v>
      </c>
      <c r="E149" s="3">
        <v>1.48</v>
      </c>
      <c r="F149" s="3">
        <v>1.48</v>
      </c>
      <c r="G149" s="3">
        <v>1.48</v>
      </c>
      <c r="H149" s="3">
        <v>1</v>
      </c>
      <c r="I149" s="3">
        <v>1</v>
      </c>
      <c r="J149" s="3">
        <v>1</v>
      </c>
      <c r="K149" s="1"/>
      <c r="M149" s="64"/>
      <c r="N149" s="64"/>
      <c r="O149" s="65"/>
      <c r="P149" s="64"/>
      <c r="Q149" s="64"/>
      <c r="R149" s="66"/>
      <c r="S149" s="64"/>
      <c r="T149" s="64"/>
      <c r="U149" s="64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v>1.9</v>
      </c>
      <c r="E150" s="3">
        <v>1</v>
      </c>
      <c r="F150" s="3">
        <v>1</v>
      </c>
      <c r="G150" s="3">
        <v>1</v>
      </c>
      <c r="H150" s="3">
        <v>1</v>
      </c>
      <c r="I150" s="3">
        <v>1</v>
      </c>
      <c r="J150" s="3">
        <v>1</v>
      </c>
      <c r="K150" s="1"/>
      <c r="M150" s="64"/>
      <c r="N150" s="64"/>
      <c r="O150" s="64"/>
      <c r="P150" s="65"/>
      <c r="Q150" s="64"/>
      <c r="R150" s="64"/>
      <c r="S150" s="64"/>
      <c r="T150" s="64"/>
      <c r="U150" s="64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v>2.1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1"/>
      <c r="M151" s="64"/>
      <c r="N151" s="64"/>
      <c r="O151" s="64"/>
      <c r="P151" s="64"/>
      <c r="Q151" s="65"/>
      <c r="R151" s="64"/>
      <c r="S151" s="66"/>
      <c r="T151" s="64"/>
      <c r="U151" s="64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v>2.35</v>
      </c>
      <c r="E152" s="3">
        <v>1.8</v>
      </c>
      <c r="F152" s="3">
        <v>1.8</v>
      </c>
      <c r="G152" s="3">
        <v>1.8</v>
      </c>
      <c r="H152" s="3">
        <v>1</v>
      </c>
      <c r="I152" s="3">
        <v>1</v>
      </c>
      <c r="J152" s="3">
        <v>1</v>
      </c>
      <c r="K152" s="1"/>
      <c r="M152" s="64"/>
      <c r="N152" s="64"/>
      <c r="O152" s="66"/>
      <c r="P152" s="64"/>
      <c r="Q152" s="64"/>
      <c r="R152" s="65"/>
      <c r="S152" s="64"/>
      <c r="T152" s="64"/>
      <c r="U152" s="64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4"/>
      <c r="N153" s="65"/>
      <c r="O153" s="64"/>
      <c r="P153" s="64"/>
      <c r="Q153" s="64"/>
      <c r="R153" s="64"/>
      <c r="S153" s="66"/>
      <c r="T153" s="64"/>
      <c r="U153" s="65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4"/>
      <c r="N154" s="65"/>
      <c r="O154" s="64"/>
      <c r="P154" s="64"/>
      <c r="Q154" s="67"/>
      <c r="R154" s="64"/>
      <c r="S154" s="64"/>
      <c r="T154" s="64"/>
      <c r="U154" s="64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4"/>
      <c r="N155" s="65"/>
      <c r="O155" s="64"/>
      <c r="P155" s="66"/>
      <c r="Q155" s="64"/>
      <c r="R155" s="64"/>
      <c r="S155" s="64"/>
      <c r="T155" s="64"/>
      <c r="U155" s="64"/>
      <c r="V155" s="64"/>
      <c r="W155" s="64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40"/>
      <c r="N165" s="40"/>
      <c r="O165" s="40"/>
      <c r="P165" s="40"/>
      <c r="Q165" s="40"/>
      <c r="R165" s="40"/>
      <c r="S165" s="40"/>
      <c r="T165" s="40"/>
      <c r="U165" s="65"/>
      <c r="V165" s="40"/>
      <c r="W165" s="40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40"/>
      <c r="N185" s="40"/>
      <c r="O185" s="40">
        <f>(7^2+4^2)*(1/2)</f>
        <v>32.5</v>
      </c>
      <c r="P185" s="40"/>
      <c r="Q185" s="40"/>
      <c r="R185" s="40"/>
      <c r="S185" s="40"/>
      <c r="T185" s="40"/>
      <c r="U185" s="40"/>
      <c r="V185" s="40"/>
      <c r="W185" s="40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7"/>
      <c r="Y188" s="7"/>
      <c r="Z188" s="7"/>
      <c r="AA188" s="7"/>
      <c r="AB188" s="7"/>
    </row>
    <row r="189" spans="13:28" ht="12.75" customHeight="1"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Y189" s="7"/>
      <c r="Z189" s="7"/>
      <c r="AA189" s="7"/>
      <c r="AB189" s="7"/>
    </row>
    <row r="190" spans="13:23" ht="12.75" customHeight="1"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</row>
    <row r="191" spans="13:23" ht="12.75" customHeight="1"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</row>
    <row r="192" spans="13:23" ht="12.75" customHeight="1"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</row>
    <row r="193" spans="13:23" ht="12.75" customHeight="1"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</row>
    <row r="194" spans="13:23" ht="12.75" customHeight="1"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</row>
    <row r="195" spans="13:23" ht="12.75" customHeight="1"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</row>
    <row r="196" spans="13:23" ht="12.75" customHeight="1"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</row>
    <row r="197" spans="13:23" ht="12.75" customHeight="1"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</row>
    <row r="198" spans="13:23" ht="12.75" customHeight="1"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</row>
    <row r="199" spans="13:23" ht="12.75" customHeight="1"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</row>
    <row r="200" spans="13:23" ht="12.75" customHeight="1"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</row>
    <row r="201" spans="13:23" ht="12.75" customHeight="1"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</row>
    <row r="202" spans="13:23" ht="12.75" customHeight="1"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</row>
    <row r="203" spans="13:23" ht="12.75" customHeight="1"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</row>
    <row r="204" spans="13:23" ht="12.75" customHeight="1"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</row>
    <row r="205" spans="13:23" ht="12.75" customHeight="1"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</row>
    <row r="206" spans="13:23" ht="12.75" customHeight="1"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</row>
    <row r="207" spans="13:23" ht="12.75" customHeight="1"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</row>
    <row r="208" spans="13:23" ht="12.75" customHeight="1"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</row>
    <row r="209" spans="13:23" ht="12.75" customHeight="1"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</row>
    <row r="210" spans="13:23" ht="12.75" customHeight="1"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3:23" ht="12.75" customHeight="1"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</row>
    <row r="212" spans="13:23" ht="12.75" customHeight="1"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</row>
    <row r="213" spans="13:23" ht="12.75" customHeight="1"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</row>
    <row r="214" spans="13:23" ht="12.75" customHeight="1"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</row>
    <row r="215" spans="13:23" ht="12.75" customHeight="1"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</row>
    <row r="216" spans="13:23" ht="12.75" customHeight="1"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</row>
    <row r="217" spans="13:23" ht="12.75" customHeight="1"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</row>
    <row r="218" spans="13:23" ht="12.75" customHeight="1"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</row>
    <row r="219" spans="13:23" ht="12.75" customHeight="1"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</row>
    <row r="220" spans="13:23" ht="12.75" customHeight="1"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</row>
    <row r="221" spans="13:23" ht="12.75" customHeight="1"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</row>
    <row r="222" spans="13:23" ht="12.75" customHeight="1"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</row>
    <row r="223" spans="13:23" ht="12.75" customHeight="1"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</row>
    <row r="224" spans="13:23" ht="12.75" customHeight="1"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</row>
    <row r="225" spans="13:23" ht="12.75" customHeight="1"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</row>
    <row r="226" spans="13:23" ht="12.75" customHeight="1"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</row>
    <row r="227" spans="13:23" ht="12.75" customHeight="1"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</row>
    <row r="228" spans="13:23" ht="12.75" customHeight="1"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</row>
    <row r="229" spans="13:23" ht="12.75" customHeight="1"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</row>
    <row r="230" spans="13:23" ht="12.75" customHeight="1"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</row>
    <row r="231" spans="13:23" ht="12.75" customHeight="1"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</row>
    <row r="232" spans="13:23" ht="12.75" customHeight="1"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</row>
    <row r="233" spans="13:23" ht="12.75" customHeight="1"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</row>
    <row r="234" spans="13:23" ht="12.75" customHeight="1"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</row>
    <row r="235" spans="13:23" ht="12.75" customHeight="1"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</row>
    <row r="236" spans="13:23" ht="12.75" customHeight="1"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</row>
    <row r="237" spans="13:23" ht="12.75" customHeight="1"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</row>
    <row r="238" spans="13:23" ht="12.75" customHeight="1"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</row>
    <row r="239" spans="13:23" ht="12.75" customHeight="1"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</row>
    <row r="240" spans="13:23" ht="12.75" customHeight="1"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</row>
    <row r="241" spans="13:23" ht="12.75" customHeight="1"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</row>
    <row r="242" spans="13:23" ht="12.75" customHeight="1"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</row>
    <row r="243" spans="13:23" ht="12.75" customHeight="1"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</row>
    <row r="244" spans="13:23" ht="12.75" customHeight="1"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</row>
    <row r="245" spans="13:23" ht="12.75" customHeight="1"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</row>
    <row r="246" spans="13:23" ht="12.75" customHeight="1"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</row>
    <row r="247" spans="13:23" ht="12.75" customHeight="1"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</row>
    <row r="248" spans="13:23" ht="12.75" customHeight="1"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</row>
    <row r="249" spans="13:23" ht="12.75" customHeight="1"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</row>
    <row r="250" spans="13:23" ht="12.75" customHeight="1"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</row>
    <row r="251" spans="13:23" ht="12.75" customHeight="1"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</row>
    <row r="252" spans="13:23" ht="12.75" customHeight="1"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</row>
    <row r="253" spans="13:23" ht="12.75" customHeight="1"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</row>
    <row r="254" spans="13:23" ht="12.75" customHeight="1"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</row>
    <row r="255" spans="13:23" ht="12.75" customHeight="1"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</row>
    <row r="256" spans="13:23" ht="12.75" customHeight="1"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</row>
    <row r="257" spans="13:23" ht="12.75" customHeight="1"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</row>
    <row r="258" spans="13:23" ht="12.75" customHeight="1"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</row>
    <row r="259" spans="13:23" ht="12.75" customHeight="1"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</row>
    <row r="260" spans="13:23" ht="12.75" customHeight="1"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</row>
    <row r="261" spans="13:23" ht="12.75" customHeight="1"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</row>
    <row r="262" spans="13:23" ht="12.75" customHeight="1"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</row>
    <row r="263" spans="13:23" ht="12.75" customHeight="1"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</row>
    <row r="264" spans="13:23" ht="12.75" customHeight="1"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</row>
    <row r="265" spans="13:23" ht="12.75" customHeight="1"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</row>
    <row r="266" spans="13:23" ht="12.75" customHeight="1"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3:23" ht="12.75" customHeight="1"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</row>
    <row r="268" spans="13:23" ht="12.75" customHeight="1"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</row>
    <row r="269" spans="13:23" ht="12.75" customHeight="1"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</row>
    <row r="270" spans="13:23" ht="12.75" customHeight="1"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</row>
    <row r="271" spans="13:23" ht="12.75" customHeight="1"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</row>
    <row r="272" spans="13:23" ht="12.75" customHeight="1"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</row>
    <row r="273" spans="13:23" ht="12.75" customHeight="1"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</row>
    <row r="274" spans="13:23" ht="12.75" customHeight="1"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</row>
    <row r="275" spans="13:23" ht="12.75" customHeight="1"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</row>
    <row r="276" spans="13:23" ht="12.75" customHeight="1"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</row>
    <row r="277" spans="13:23" ht="12.75" customHeight="1"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</row>
    <row r="278" spans="13:23" ht="12.75" customHeight="1"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</row>
    <row r="279" spans="13:23" ht="12.75" customHeight="1"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</row>
    <row r="280" spans="13:23" ht="12.75" customHeight="1"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</row>
    <row r="281" spans="13:23" ht="12.75" customHeight="1"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</row>
    <row r="282" spans="13:23" ht="12.75" customHeight="1"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</row>
    <row r="283" spans="13:23" ht="12.75" customHeight="1"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</row>
    <row r="284" spans="13:23" ht="12.75" customHeight="1"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</row>
    <row r="285" spans="13:23" ht="12.75" customHeight="1"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</row>
    <row r="286" spans="13:23" ht="12.75" customHeight="1"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</row>
    <row r="287" spans="13:23" ht="12.75" customHeight="1"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</row>
    <row r="288" spans="13:23" ht="12.75" customHeight="1"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</row>
    <row r="289" spans="13:23" ht="12.75" customHeight="1"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</row>
    <row r="290" spans="13:23" ht="12.75" customHeight="1"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</row>
  </sheetData>
  <sheetProtection/>
  <mergeCells count="36">
    <mergeCell ref="B137:D138"/>
    <mergeCell ref="G21:H21"/>
    <mergeCell ref="M6:N7"/>
    <mergeCell ref="B6:C7"/>
    <mergeCell ref="G9:H9"/>
    <mergeCell ref="G12:H12"/>
    <mergeCell ref="B9:C9"/>
    <mergeCell ref="G7:I7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P20:Q20"/>
    <mergeCell ref="B23:C23"/>
    <mergeCell ref="M140:T140"/>
    <mergeCell ref="M22:N23"/>
    <mergeCell ref="N32:O32"/>
    <mergeCell ref="P32:Q32"/>
    <mergeCell ref="G23:H23"/>
    <mergeCell ref="G24:H24"/>
    <mergeCell ref="B34:D34"/>
    <mergeCell ref="B140:J140"/>
    <mergeCell ref="B43:E43"/>
    <mergeCell ref="G43:I43"/>
    <mergeCell ref="G16:H16"/>
    <mergeCell ref="N20:O20"/>
    <mergeCell ref="G25:H25"/>
    <mergeCell ref="D23:E23"/>
    <mergeCell ref="G22:H22"/>
    <mergeCell ref="M35:U35"/>
  </mergeCells>
  <dataValidations count="10">
    <dataValidation type="list" allowBlank="1" showInputMessage="1" showErrorMessage="1" sqref="I24">
      <formula1>$F$142:$F$152</formula1>
    </dataValidation>
    <dataValidation type="list" allowBlank="1" showInputMessage="1" showErrorMessage="1" sqref="I28">
      <formula1>$J$142:$J$152</formula1>
    </dataValidation>
    <dataValidation type="list" allowBlank="1" showInputMessage="1" showErrorMessage="1" sqref="I27">
      <formula1>$I$142:$I$152</formula1>
    </dataValidation>
    <dataValidation type="list" allowBlank="1" showInputMessage="1" showErrorMessage="1" sqref="I26">
      <formula1>$H$142:$H$152</formula1>
    </dataValidation>
    <dataValidation type="list" allowBlank="1" showInputMessage="1" showErrorMessage="1" sqref="I21">
      <formula1>$C$143:$C$152</formula1>
    </dataValidation>
    <dataValidation type="list" allowBlank="1" showInputMessage="1" showErrorMessage="1" sqref="I22">
      <formula1>$D$142:$D$152</formula1>
    </dataValidation>
    <dataValidation type="list" allowBlank="1" showInputMessage="1" showErrorMessage="1" sqref="I25">
      <formula1>$G$142:$G$152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3">
      <formula1>$E$142:$E$152</formula1>
    </dataValidation>
    <dataValidation type="list" allowBlank="1" showInputMessage="1" showErrorMessage="1" sqref="E24">
      <formula1>"1,1.2,1.4,1.6,2.0"</formula1>
    </dataValidation>
  </dataValidations>
  <printOptions/>
  <pageMargins left="0.787" right="0.787" top="0.984" bottom="0.984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2009-07-19T14:53:04Z</dcterms:created>
  <dcterms:modified xsi:type="dcterms:W3CDTF">2009-10-07T01:30:47Z</dcterms:modified>
  <cp:category/>
  <cp:version/>
  <cp:contentType/>
  <cp:contentStatus/>
</cp:coreProperties>
</file>