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20" yWindow="180" windowWidth="15855" windowHeight="10515"/>
  </bookViews>
  <sheets>
    <sheet name="殲滅戦" sheetId="1" r:id="rId1"/>
    <sheet name="強襲戦" sheetId="2" r:id="rId2"/>
  </sheets>
  <calcPr calcId="125725"/>
</workbook>
</file>

<file path=xl/calcChain.xml><?xml version="1.0" encoding="utf-8"?>
<calcChain xmlns="http://schemas.openxmlformats.org/spreadsheetml/2006/main">
  <c r="D112" i="1"/>
  <c r="E112"/>
  <c r="F112"/>
  <c r="E92" i="2"/>
  <c r="F92"/>
  <c r="F93" s="1"/>
  <c r="D112"/>
  <c r="E112"/>
  <c r="F112"/>
  <c r="E93"/>
  <c r="E92" i="1"/>
  <c r="F92"/>
  <c r="M94" i="2"/>
  <c r="M95" s="1"/>
  <c r="M96" s="1"/>
  <c r="L94"/>
  <c r="L95" s="1"/>
  <c r="L96" s="1"/>
  <c r="H94"/>
  <c r="H95" s="1"/>
  <c r="H96" s="1"/>
  <c r="M91"/>
  <c r="L91"/>
  <c r="H91"/>
  <c r="M114"/>
  <c r="M115" s="1"/>
  <c r="M116" s="1"/>
  <c r="F113"/>
  <c r="D113"/>
  <c r="M111"/>
  <c r="T77"/>
  <c r="S77"/>
  <c r="R77"/>
  <c r="Q77"/>
  <c r="P77"/>
  <c r="O77"/>
  <c r="N77"/>
  <c r="M77"/>
  <c r="L77"/>
  <c r="K77"/>
  <c r="J77"/>
  <c r="T76"/>
  <c r="S76"/>
  <c r="R76"/>
  <c r="Q76"/>
  <c r="P76"/>
  <c r="O76"/>
  <c r="N76"/>
  <c r="M76"/>
  <c r="L76"/>
  <c r="K76"/>
  <c r="J76"/>
  <c r="T75"/>
  <c r="S75"/>
  <c r="R75"/>
  <c r="Q75"/>
  <c r="P75"/>
  <c r="O75"/>
  <c r="N75"/>
  <c r="M75"/>
  <c r="L75"/>
  <c r="K75"/>
  <c r="J75"/>
  <c r="T74"/>
  <c r="S74"/>
  <c r="R74"/>
  <c r="Q74"/>
  <c r="P74"/>
  <c r="O74"/>
  <c r="N74"/>
  <c r="M74"/>
  <c r="L74"/>
  <c r="K74"/>
  <c r="J74"/>
  <c r="G68"/>
  <c r="F68"/>
  <c r="E68"/>
  <c r="D68"/>
  <c r="M67"/>
  <c r="L67"/>
  <c r="K67"/>
  <c r="J67"/>
  <c r="G67"/>
  <c r="G69" s="1"/>
  <c r="F67"/>
  <c r="F69" s="1"/>
  <c r="E67"/>
  <c r="E69" s="1"/>
  <c r="D67"/>
  <c r="D69" s="1"/>
  <c r="G64"/>
  <c r="F64"/>
  <c r="E64"/>
  <c r="D64"/>
  <c r="C64"/>
  <c r="A64"/>
  <c r="G63"/>
  <c r="F63"/>
  <c r="E63"/>
  <c r="D63"/>
  <c r="C63"/>
  <c r="A63"/>
  <c r="Q50" s="1"/>
  <c r="K62"/>
  <c r="J62"/>
  <c r="G62"/>
  <c r="F62"/>
  <c r="E62"/>
  <c r="D62"/>
  <c r="C62"/>
  <c r="A62"/>
  <c r="G61"/>
  <c r="F61"/>
  <c r="E61"/>
  <c r="D61"/>
  <c r="C61"/>
  <c r="A61"/>
  <c r="Q48" s="1"/>
  <c r="G60"/>
  <c r="F60"/>
  <c r="E60"/>
  <c r="D60"/>
  <c r="C60"/>
  <c r="A60"/>
  <c r="G59"/>
  <c r="F59"/>
  <c r="E59"/>
  <c r="D59"/>
  <c r="C59"/>
  <c r="A59"/>
  <c r="G58"/>
  <c r="F58"/>
  <c r="E58"/>
  <c r="D58"/>
  <c r="C58"/>
  <c r="A58"/>
  <c r="G57"/>
  <c r="F57"/>
  <c r="E57"/>
  <c r="D57"/>
  <c r="A57"/>
  <c r="G56"/>
  <c r="F56"/>
  <c r="E56"/>
  <c r="D56"/>
  <c r="C56"/>
  <c r="A56"/>
  <c r="G55"/>
  <c r="F55"/>
  <c r="E55"/>
  <c r="D55"/>
  <c r="C55"/>
  <c r="A55"/>
  <c r="G54"/>
  <c r="F54"/>
  <c r="E54"/>
  <c r="D54"/>
  <c r="C54"/>
  <c r="A54"/>
  <c r="R41" s="1"/>
  <c r="R51"/>
  <c r="Q51"/>
  <c r="P51"/>
  <c r="O51"/>
  <c r="M51"/>
  <c r="J51"/>
  <c r="R50"/>
  <c r="P50"/>
  <c r="J50"/>
  <c r="R49"/>
  <c r="Q49"/>
  <c r="P49"/>
  <c r="O49"/>
  <c r="J49"/>
  <c r="R48"/>
  <c r="P48"/>
  <c r="J48"/>
  <c r="Q47"/>
  <c r="O47"/>
  <c r="J47"/>
  <c r="R46"/>
  <c r="Q46"/>
  <c r="P46"/>
  <c r="O46"/>
  <c r="J46"/>
  <c r="R45"/>
  <c r="Q45"/>
  <c r="P45"/>
  <c r="O45"/>
  <c r="J45"/>
  <c r="R44"/>
  <c r="Q44"/>
  <c r="P44"/>
  <c r="O44"/>
  <c r="M44"/>
  <c r="J44"/>
  <c r="R43"/>
  <c r="Q43"/>
  <c r="P43"/>
  <c r="O43"/>
  <c r="J43"/>
  <c r="R42"/>
  <c r="Q42"/>
  <c r="P42"/>
  <c r="O42"/>
  <c r="J42"/>
  <c r="Q41"/>
  <c r="O41"/>
  <c r="J41"/>
  <c r="M94" i="1"/>
  <c r="L94"/>
  <c r="K94"/>
  <c r="J94"/>
  <c r="I94"/>
  <c r="M114"/>
  <c r="L114"/>
  <c r="H114"/>
  <c r="L111"/>
  <c r="M111"/>
  <c r="L99" i="2" l="1"/>
  <c r="L97"/>
  <c r="H99"/>
  <c r="H97"/>
  <c r="M99"/>
  <c r="M97"/>
  <c r="R47"/>
  <c r="J52"/>
  <c r="J53" s="1"/>
  <c r="P41"/>
  <c r="M86"/>
  <c r="R52"/>
  <c r="G86" s="1"/>
  <c r="P47"/>
  <c r="O50"/>
  <c r="N67"/>
  <c r="K86"/>
  <c r="J86"/>
  <c r="L86"/>
  <c r="Q52"/>
  <c r="F86" s="1"/>
  <c r="O48"/>
  <c r="O52" s="1"/>
  <c r="D86" s="1"/>
  <c r="M119"/>
  <c r="M117"/>
  <c r="H69"/>
  <c r="F72" s="1"/>
  <c r="A64" i="1"/>
  <c r="A63"/>
  <c r="A62"/>
  <c r="A61"/>
  <c r="A60"/>
  <c r="A59"/>
  <c r="A58"/>
  <c r="A57"/>
  <c r="A56"/>
  <c r="A55"/>
  <c r="A54"/>
  <c r="K75"/>
  <c r="L75"/>
  <c r="M75"/>
  <c r="N75"/>
  <c r="O75"/>
  <c r="P75"/>
  <c r="Q75"/>
  <c r="R75"/>
  <c r="S75"/>
  <c r="T75"/>
  <c r="K76"/>
  <c r="L76"/>
  <c r="M76"/>
  <c r="N76"/>
  <c r="O76"/>
  <c r="P76"/>
  <c r="Q76"/>
  <c r="R76"/>
  <c r="S76"/>
  <c r="T76"/>
  <c r="K77"/>
  <c r="L77"/>
  <c r="M77"/>
  <c r="N77"/>
  <c r="O77"/>
  <c r="P77"/>
  <c r="Q77"/>
  <c r="R77"/>
  <c r="S77"/>
  <c r="T77"/>
  <c r="J75"/>
  <c r="J76"/>
  <c r="J77"/>
  <c r="K74"/>
  <c r="L74"/>
  <c r="M74"/>
  <c r="N74"/>
  <c r="O74"/>
  <c r="P74"/>
  <c r="Q74"/>
  <c r="R74"/>
  <c r="S74"/>
  <c r="T74"/>
  <c r="J74"/>
  <c r="M67"/>
  <c r="L67"/>
  <c r="K67"/>
  <c r="J67"/>
  <c r="K62"/>
  <c r="J62"/>
  <c r="M51"/>
  <c r="M44"/>
  <c r="G68"/>
  <c r="F68"/>
  <c r="D68"/>
  <c r="E68"/>
  <c r="G67"/>
  <c r="G69" s="1"/>
  <c r="F67"/>
  <c r="F69" s="1"/>
  <c r="E67"/>
  <c r="D67"/>
  <c r="J44"/>
  <c r="E54"/>
  <c r="F54"/>
  <c r="G54"/>
  <c r="E55"/>
  <c r="F55"/>
  <c r="G55"/>
  <c r="E56"/>
  <c r="F56"/>
  <c r="G56"/>
  <c r="E57"/>
  <c r="F57"/>
  <c r="G57"/>
  <c r="E58"/>
  <c r="F58"/>
  <c r="G58"/>
  <c r="E59"/>
  <c r="F59"/>
  <c r="G59"/>
  <c r="E60"/>
  <c r="F60"/>
  <c r="G60"/>
  <c r="E61"/>
  <c r="F61"/>
  <c r="G61"/>
  <c r="E62"/>
  <c r="F62"/>
  <c r="G62"/>
  <c r="E63"/>
  <c r="F63"/>
  <c r="G63"/>
  <c r="E64"/>
  <c r="F64"/>
  <c r="G64"/>
  <c r="D64"/>
  <c r="D63"/>
  <c r="D62"/>
  <c r="D61"/>
  <c r="D60"/>
  <c r="D59"/>
  <c r="D58"/>
  <c r="D56"/>
  <c r="D55"/>
  <c r="D54"/>
  <c r="D57"/>
  <c r="C64"/>
  <c r="J51" s="1"/>
  <c r="C63"/>
  <c r="J50" s="1"/>
  <c r="C62"/>
  <c r="J49" s="1"/>
  <c r="C61"/>
  <c r="J48" s="1"/>
  <c r="C60"/>
  <c r="J47" s="1"/>
  <c r="C59"/>
  <c r="J46" s="1"/>
  <c r="C58"/>
  <c r="J45" s="1"/>
  <c r="C56"/>
  <c r="J43" s="1"/>
  <c r="C55"/>
  <c r="J42" s="1"/>
  <c r="C54"/>
  <c r="J41" s="1"/>
  <c r="P52" i="2" l="1"/>
  <c r="E86" s="1"/>
  <c r="H86" s="1"/>
  <c r="N86"/>
  <c r="I91" s="1"/>
  <c r="F81"/>
  <c r="D79"/>
  <c r="D77"/>
  <c r="D75"/>
  <c r="E73"/>
  <c r="F82"/>
  <c r="D80"/>
  <c r="D78"/>
  <c r="D76"/>
  <c r="E74"/>
  <c r="E72"/>
  <c r="J111"/>
  <c r="D82"/>
  <c r="D81"/>
  <c r="F80"/>
  <c r="F79"/>
  <c r="F78"/>
  <c r="F77"/>
  <c r="F76"/>
  <c r="F75"/>
  <c r="G74"/>
  <c r="G73"/>
  <c r="G72"/>
  <c r="G82"/>
  <c r="G81"/>
  <c r="E80"/>
  <c r="E79"/>
  <c r="E78"/>
  <c r="E77"/>
  <c r="E76"/>
  <c r="E75"/>
  <c r="D74"/>
  <c r="D73"/>
  <c r="D72"/>
  <c r="K87"/>
  <c r="E82"/>
  <c r="E81"/>
  <c r="G80"/>
  <c r="G79"/>
  <c r="G78"/>
  <c r="G77"/>
  <c r="G76"/>
  <c r="G75"/>
  <c r="F74"/>
  <c r="F73"/>
  <c r="N67" i="1"/>
  <c r="O42"/>
  <c r="Q42"/>
  <c r="P42"/>
  <c r="R42"/>
  <c r="O44"/>
  <c r="Q44"/>
  <c r="P44"/>
  <c r="R44"/>
  <c r="O48"/>
  <c r="Q48"/>
  <c r="P48"/>
  <c r="R48"/>
  <c r="R41"/>
  <c r="P41"/>
  <c r="Q41"/>
  <c r="O41"/>
  <c r="O43"/>
  <c r="Q43"/>
  <c r="P43"/>
  <c r="R43"/>
  <c r="O47"/>
  <c r="Q47"/>
  <c r="P47"/>
  <c r="R47"/>
  <c r="O49"/>
  <c r="Q49"/>
  <c r="P49"/>
  <c r="R49"/>
  <c r="O51"/>
  <c r="Q51"/>
  <c r="P51"/>
  <c r="R51"/>
  <c r="P45"/>
  <c r="R45"/>
  <c r="O45"/>
  <c r="Q45"/>
  <c r="P50"/>
  <c r="R50"/>
  <c r="O50"/>
  <c r="Q50"/>
  <c r="P46"/>
  <c r="P52" s="1"/>
  <c r="E86" s="1"/>
  <c r="R46"/>
  <c r="O46"/>
  <c r="O52" s="1"/>
  <c r="D86" s="1"/>
  <c r="Q46"/>
  <c r="J52"/>
  <c r="J53" s="1"/>
  <c r="M86"/>
  <c r="K86"/>
  <c r="L86"/>
  <c r="J86"/>
  <c r="E69"/>
  <c r="D69"/>
  <c r="H76" i="2" l="1"/>
  <c r="M45" s="1"/>
  <c r="H80"/>
  <c r="M49" s="1"/>
  <c r="C91"/>
  <c r="D91"/>
  <c r="G91"/>
  <c r="J91"/>
  <c r="K91"/>
  <c r="E91"/>
  <c r="F91"/>
  <c r="H78"/>
  <c r="M47" s="1"/>
  <c r="G111"/>
  <c r="E111"/>
  <c r="F111"/>
  <c r="D111"/>
  <c r="M87"/>
  <c r="L87"/>
  <c r="H75"/>
  <c r="H77"/>
  <c r="M46" s="1"/>
  <c r="H79"/>
  <c r="M48" s="1"/>
  <c r="H72"/>
  <c r="M41" s="1"/>
  <c r="K111"/>
  <c r="I111"/>
  <c r="H111"/>
  <c r="L111"/>
  <c r="C111"/>
  <c r="F87"/>
  <c r="G87"/>
  <c r="E87"/>
  <c r="C123"/>
  <c r="H74"/>
  <c r="M43" s="1"/>
  <c r="H81"/>
  <c r="M50" s="1"/>
  <c r="H73"/>
  <c r="M42" s="1"/>
  <c r="H82"/>
  <c r="Q52" i="1"/>
  <c r="F86" s="1"/>
  <c r="R52"/>
  <c r="G86" s="1"/>
  <c r="N86"/>
  <c r="L91" s="1"/>
  <c r="H69"/>
  <c r="E91"/>
  <c r="C103" i="2" l="1"/>
  <c r="N91"/>
  <c r="N111"/>
  <c r="M52"/>
  <c r="M53" s="1"/>
  <c r="M54" s="1"/>
  <c r="J58" s="1"/>
  <c r="K58" s="1"/>
  <c r="J59" s="1"/>
  <c r="J61" s="1"/>
  <c r="G73" i="1"/>
  <c r="G75"/>
  <c r="G77"/>
  <c r="G79"/>
  <c r="G81"/>
  <c r="F73"/>
  <c r="F75"/>
  <c r="F77"/>
  <c r="F79"/>
  <c r="F81"/>
  <c r="G72"/>
  <c r="D74"/>
  <c r="D76"/>
  <c r="D78"/>
  <c r="D80"/>
  <c r="D82"/>
  <c r="G74"/>
  <c r="G76"/>
  <c r="G78"/>
  <c r="G80"/>
  <c r="G82"/>
  <c r="F74"/>
  <c r="F76"/>
  <c r="F78"/>
  <c r="F80"/>
  <c r="F82"/>
  <c r="F72"/>
  <c r="D73"/>
  <c r="D75"/>
  <c r="D77"/>
  <c r="D79"/>
  <c r="D81"/>
  <c r="D72"/>
  <c r="E82"/>
  <c r="E78"/>
  <c r="E74"/>
  <c r="E81"/>
  <c r="E77"/>
  <c r="E73"/>
  <c r="E80"/>
  <c r="E76"/>
  <c r="E72"/>
  <c r="E79"/>
  <c r="E75"/>
  <c r="C91"/>
  <c r="G91"/>
  <c r="M91"/>
  <c r="J91"/>
  <c r="H86"/>
  <c r="J111" s="1"/>
  <c r="K91"/>
  <c r="I91"/>
  <c r="H91"/>
  <c r="F91"/>
  <c r="D91"/>
  <c r="L87"/>
  <c r="K87"/>
  <c r="M87"/>
  <c r="H78"/>
  <c r="M47" s="1"/>
  <c r="C22" i="2" l="1"/>
  <c r="C23"/>
  <c r="J63"/>
  <c r="K59"/>
  <c r="K61" s="1"/>
  <c r="H80" i="1"/>
  <c r="M49" s="1"/>
  <c r="G111"/>
  <c r="H111"/>
  <c r="E87"/>
  <c r="C111"/>
  <c r="F111"/>
  <c r="E111"/>
  <c r="D111"/>
  <c r="C103"/>
  <c r="H74"/>
  <c r="M43" s="1"/>
  <c r="I111"/>
  <c r="K111"/>
  <c r="F87"/>
  <c r="G87"/>
  <c r="H76"/>
  <c r="M45" s="1"/>
  <c r="H82"/>
  <c r="N91"/>
  <c r="H75"/>
  <c r="H73"/>
  <c r="M42" s="1"/>
  <c r="H79"/>
  <c r="M48" s="1"/>
  <c r="H72"/>
  <c r="M41" s="1"/>
  <c r="H77"/>
  <c r="M46" s="1"/>
  <c r="H81"/>
  <c r="M50" s="1"/>
  <c r="D92" i="2" l="1"/>
  <c r="D93" s="1"/>
  <c r="C92"/>
  <c r="L92"/>
  <c r="M92"/>
  <c r="H92"/>
  <c r="I92"/>
  <c r="G92"/>
  <c r="K92"/>
  <c r="C93"/>
  <c r="C94" s="1"/>
  <c r="J92"/>
  <c r="K63"/>
  <c r="C123" i="1"/>
  <c r="N111"/>
  <c r="M52"/>
  <c r="M53" s="1"/>
  <c r="M54" s="1"/>
  <c r="J58" s="1"/>
  <c r="E113" i="2" l="1"/>
  <c r="C112"/>
  <c r="I94"/>
  <c r="I95" s="1"/>
  <c r="I96" s="1"/>
  <c r="J94"/>
  <c r="J95" s="1"/>
  <c r="J96" s="1"/>
  <c r="K94"/>
  <c r="K95" s="1"/>
  <c r="K96" s="1"/>
  <c r="G94"/>
  <c r="G95" s="1"/>
  <c r="G96" s="1"/>
  <c r="C113"/>
  <c r="C114" s="1"/>
  <c r="M112"/>
  <c r="I112"/>
  <c r="L112"/>
  <c r="H112"/>
  <c r="H114" s="1"/>
  <c r="H115" s="1"/>
  <c r="H116" s="1"/>
  <c r="K112"/>
  <c r="G112"/>
  <c r="J112"/>
  <c r="J59" i="1"/>
  <c r="K61" s="1"/>
  <c r="K63" s="1"/>
  <c r="C112" s="1"/>
  <c r="K59"/>
  <c r="J61" s="1"/>
  <c r="J63" s="1"/>
  <c r="D92" l="1"/>
  <c r="C92"/>
  <c r="C93" s="1"/>
  <c r="J114" i="2"/>
  <c r="J115" s="1"/>
  <c r="J116" s="1"/>
  <c r="K99"/>
  <c r="K97"/>
  <c r="K98" s="1"/>
  <c r="I99"/>
  <c r="I97"/>
  <c r="G99"/>
  <c r="G97"/>
  <c r="G98" s="1"/>
  <c r="J99"/>
  <c r="J97"/>
  <c r="L114"/>
  <c r="L115" s="1"/>
  <c r="L116" s="1"/>
  <c r="L119" s="1"/>
  <c r="G114"/>
  <c r="G115" s="1"/>
  <c r="G116" s="1"/>
  <c r="G117" s="1"/>
  <c r="K114"/>
  <c r="K115" s="1"/>
  <c r="K116" s="1"/>
  <c r="K119" s="1"/>
  <c r="I114"/>
  <c r="I115" s="1"/>
  <c r="I116" s="1"/>
  <c r="I119" s="1"/>
  <c r="L117"/>
  <c r="H117"/>
  <c r="H119"/>
  <c r="J117"/>
  <c r="J119"/>
  <c r="E113" i="1"/>
  <c r="F113"/>
  <c r="C113"/>
  <c r="D113"/>
  <c r="H112"/>
  <c r="K112"/>
  <c r="M112"/>
  <c r="G112"/>
  <c r="I112"/>
  <c r="J112"/>
  <c r="L112"/>
  <c r="F93"/>
  <c r="G92"/>
  <c r="D93"/>
  <c r="E93"/>
  <c r="C22"/>
  <c r="C23" s="1"/>
  <c r="I92"/>
  <c r="K92"/>
  <c r="M92"/>
  <c r="H92"/>
  <c r="J92"/>
  <c r="L92"/>
  <c r="I100" i="2" l="1"/>
  <c r="I101" s="1"/>
  <c r="I102" s="1"/>
  <c r="I117"/>
  <c r="I118" s="1"/>
  <c r="J100"/>
  <c r="J101" s="1"/>
  <c r="I98"/>
  <c r="G100" s="1"/>
  <c r="G101" s="1"/>
  <c r="G119"/>
  <c r="G118"/>
  <c r="K117"/>
  <c r="K118" s="1"/>
  <c r="C114" i="1"/>
  <c r="J114" s="1"/>
  <c r="C94"/>
  <c r="G94" s="1"/>
  <c r="L115"/>
  <c r="L116" s="1"/>
  <c r="M95"/>
  <c r="M120" i="2" l="1"/>
  <c r="M121" s="1"/>
  <c r="M122" s="1"/>
  <c r="L120"/>
  <c r="L121" s="1"/>
  <c r="L122" s="1"/>
  <c r="G102"/>
  <c r="K100"/>
  <c r="K101" s="1"/>
  <c r="H100"/>
  <c r="H101" s="1"/>
  <c r="M100"/>
  <c r="M101" s="1"/>
  <c r="L100"/>
  <c r="L101" s="1"/>
  <c r="J102"/>
  <c r="I120"/>
  <c r="I121" s="1"/>
  <c r="I122" s="1"/>
  <c r="K120"/>
  <c r="K121" s="1"/>
  <c r="K122" s="1"/>
  <c r="J120"/>
  <c r="J121" s="1"/>
  <c r="J122" s="1"/>
  <c r="H120"/>
  <c r="H121" s="1"/>
  <c r="H122" s="1"/>
  <c r="G120"/>
  <c r="G121" s="1"/>
  <c r="G122" s="1"/>
  <c r="I114" i="1"/>
  <c r="K114"/>
  <c r="K115" s="1"/>
  <c r="K116" s="1"/>
  <c r="G114"/>
  <c r="K95"/>
  <c r="K96" s="1"/>
  <c r="H94"/>
  <c r="I115"/>
  <c r="I116" s="1"/>
  <c r="I117" s="1"/>
  <c r="G115"/>
  <c r="G116" s="1"/>
  <c r="G117" s="1"/>
  <c r="H115"/>
  <c r="H116" s="1"/>
  <c r="H119" s="1"/>
  <c r="M115"/>
  <c r="M116" s="1"/>
  <c r="M117" s="1"/>
  <c r="J115"/>
  <c r="J116" s="1"/>
  <c r="J119" s="1"/>
  <c r="J95"/>
  <c r="J96" s="1"/>
  <c r="J97" s="1"/>
  <c r="L95"/>
  <c r="L96" s="1"/>
  <c r="H95"/>
  <c r="H96" s="1"/>
  <c r="G95"/>
  <c r="G96" s="1"/>
  <c r="G97" s="1"/>
  <c r="I95"/>
  <c r="I96" s="1"/>
  <c r="L119"/>
  <c r="L117"/>
  <c r="M96"/>
  <c r="K97"/>
  <c r="K99"/>
  <c r="K119" l="1"/>
  <c r="K117"/>
  <c r="M102" i="2"/>
  <c r="K102"/>
  <c r="L102"/>
  <c r="H102"/>
  <c r="F122"/>
  <c r="F123" s="1"/>
  <c r="J123" s="1"/>
  <c r="J124" s="1"/>
  <c r="J14" s="1"/>
  <c r="J15" s="1"/>
  <c r="J99" i="1"/>
  <c r="G99"/>
  <c r="M119"/>
  <c r="J117"/>
  <c r="I118" s="1"/>
  <c r="I119"/>
  <c r="H117"/>
  <c r="G118" s="1"/>
  <c r="G119"/>
  <c r="M99"/>
  <c r="H99"/>
  <c r="L99"/>
  <c r="I99"/>
  <c r="K118"/>
  <c r="I97"/>
  <c r="I98" s="1"/>
  <c r="M97"/>
  <c r="H97"/>
  <c r="G98" s="1"/>
  <c r="L97"/>
  <c r="F102" i="2" l="1"/>
  <c r="F103" s="1"/>
  <c r="I103" s="1"/>
  <c r="I104" s="1"/>
  <c r="I7" s="1"/>
  <c r="L123"/>
  <c r="L124" s="1"/>
  <c r="L14" s="1"/>
  <c r="L15" s="1"/>
  <c r="K123"/>
  <c r="K124" s="1"/>
  <c r="K14" s="1"/>
  <c r="K15" s="1"/>
  <c r="H123"/>
  <c r="H124" s="1"/>
  <c r="H14" s="1"/>
  <c r="H15" s="1"/>
  <c r="I123"/>
  <c r="I124" s="1"/>
  <c r="I14" s="1"/>
  <c r="I15" s="1"/>
  <c r="M123"/>
  <c r="M124" s="1"/>
  <c r="M14" s="1"/>
  <c r="M15" s="1"/>
  <c r="G123"/>
  <c r="G124" s="1"/>
  <c r="G14" s="1"/>
  <c r="G15" s="1"/>
  <c r="G120" i="1"/>
  <c r="G121" s="1"/>
  <c r="J120"/>
  <c r="J121" s="1"/>
  <c r="G122"/>
  <c r="L100"/>
  <c r="L101" s="1"/>
  <c r="M100"/>
  <c r="M101" s="1"/>
  <c r="J122"/>
  <c r="K100"/>
  <c r="I120"/>
  <c r="I121" s="1"/>
  <c r="L120"/>
  <c r="L121" s="1"/>
  <c r="K120"/>
  <c r="K121" s="1"/>
  <c r="M120"/>
  <c r="M121" s="1"/>
  <c r="H120"/>
  <c r="H121" s="1"/>
  <c r="K101"/>
  <c r="K98"/>
  <c r="H100" s="1"/>
  <c r="M103" i="2" l="1"/>
  <c r="M104" s="1"/>
  <c r="M7" s="1"/>
  <c r="L103"/>
  <c r="L104" s="1"/>
  <c r="L7" s="1"/>
  <c r="G103"/>
  <c r="G104" s="1"/>
  <c r="G7" s="1"/>
  <c r="H103"/>
  <c r="H104" s="1"/>
  <c r="H7" s="1"/>
  <c r="K103"/>
  <c r="K104" s="1"/>
  <c r="K7" s="1"/>
  <c r="J103"/>
  <c r="J104" s="1"/>
  <c r="C124"/>
  <c r="D124" s="1"/>
  <c r="D125" s="1"/>
  <c r="D14" s="1"/>
  <c r="D15" s="1"/>
  <c r="K102" i="1"/>
  <c r="M102"/>
  <c r="L102"/>
  <c r="H122"/>
  <c r="M122"/>
  <c r="L122"/>
  <c r="K122"/>
  <c r="I122"/>
  <c r="J100"/>
  <c r="J101" s="1"/>
  <c r="G100"/>
  <c r="G101" s="1"/>
  <c r="I100"/>
  <c r="I101" s="1"/>
  <c r="H101"/>
  <c r="C104" i="2" l="1"/>
  <c r="D104" s="1"/>
  <c r="F105" s="1"/>
  <c r="F7" s="1"/>
  <c r="J7"/>
  <c r="E125"/>
  <c r="E14" s="1"/>
  <c r="E15" s="1"/>
  <c r="C125"/>
  <c r="F125"/>
  <c r="F14" s="1"/>
  <c r="F15" s="1"/>
  <c r="C14"/>
  <c r="C15" s="1"/>
  <c r="F122" i="1"/>
  <c r="F123" s="1"/>
  <c r="G102"/>
  <c r="I102"/>
  <c r="J102"/>
  <c r="H102"/>
  <c r="E105" i="2" l="1"/>
  <c r="E7" s="1"/>
  <c r="C105"/>
  <c r="C7" s="1"/>
  <c r="D105"/>
  <c r="D7" s="1"/>
  <c r="L123" i="1"/>
  <c r="L124" s="1"/>
  <c r="L14" s="1"/>
  <c r="L15" s="1"/>
  <c r="H123"/>
  <c r="I123"/>
  <c r="M123"/>
  <c r="G123"/>
  <c r="G124" s="1"/>
  <c r="G14" s="1"/>
  <c r="G15" s="1"/>
  <c r="K123"/>
  <c r="K124" s="1"/>
  <c r="K14" s="1"/>
  <c r="K15" s="1"/>
  <c r="J123"/>
  <c r="J124" s="1"/>
  <c r="J14" s="1"/>
  <c r="J15" s="1"/>
  <c r="H124"/>
  <c r="H14" s="1"/>
  <c r="H15" s="1"/>
  <c r="I124"/>
  <c r="I14" s="1"/>
  <c r="I15" s="1"/>
  <c r="M124"/>
  <c r="M14" s="1"/>
  <c r="M15" s="1"/>
  <c r="F102"/>
  <c r="F103" s="1"/>
  <c r="J8" i="2" l="1"/>
  <c r="I8"/>
  <c r="K8"/>
  <c r="M8"/>
  <c r="L8"/>
  <c r="H8"/>
  <c r="G8"/>
  <c r="K103" i="1"/>
  <c r="K104" s="1"/>
  <c r="K7" s="1"/>
  <c r="K8" s="1"/>
  <c r="M103"/>
  <c r="M104" s="1"/>
  <c r="M7" s="1"/>
  <c r="M8" s="1"/>
  <c r="L103"/>
  <c r="L104" s="1"/>
  <c r="L7" s="1"/>
  <c r="L8" s="1"/>
  <c r="G103"/>
  <c r="J103"/>
  <c r="H103"/>
  <c r="H104" s="1"/>
  <c r="H7" s="1"/>
  <c r="H8" s="1"/>
  <c r="I103"/>
  <c r="I104" s="1"/>
  <c r="I7" s="1"/>
  <c r="I8" s="1"/>
  <c r="C124"/>
  <c r="D124" s="1"/>
  <c r="E125" s="1"/>
  <c r="E14" s="1"/>
  <c r="E15" s="1"/>
  <c r="J104"/>
  <c r="J7" s="1"/>
  <c r="J8" s="1"/>
  <c r="G104"/>
  <c r="E8" i="2" l="1"/>
  <c r="F125" i="1"/>
  <c r="F14" s="1"/>
  <c r="F15" s="1"/>
  <c r="C125"/>
  <c r="C14" s="1"/>
  <c r="C15" s="1"/>
  <c r="D125"/>
  <c r="D14" s="1"/>
  <c r="D15" s="1"/>
  <c r="C104"/>
  <c r="D104" s="1"/>
  <c r="G7"/>
  <c r="G8" s="1"/>
  <c r="D8" i="2" l="1"/>
  <c r="C8"/>
  <c r="F8"/>
  <c r="C105" i="1"/>
  <c r="C7" s="1"/>
  <c r="C8" s="1"/>
  <c r="E105"/>
  <c r="E7" s="1"/>
  <c r="E8" s="1"/>
  <c r="D105"/>
  <c r="D7" s="1"/>
  <c r="D8" s="1"/>
  <c r="F105"/>
  <c r="F7" s="1"/>
  <c r="F8" s="1"/>
</calcChain>
</file>

<file path=xl/comments1.xml><?xml version="1.0" encoding="utf-8"?>
<comments xmlns="http://schemas.openxmlformats.org/spreadsheetml/2006/main">
  <authors>
    <author>澤村恒治</author>
  </authors>
  <commentList>
    <comment ref="L17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自分が攻撃するときは記入不要です。
(相手の防御スキルを予想するときは使用してください。）</t>
        </r>
      </text>
    </comment>
    <comment ref="E1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槍兵科武将
槍兵の進撃60％UP
の場合は武将欄と槍欄両方に0.6と記入
</t>
        </r>
      </text>
    </comment>
    <comment ref="J1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LV1or平常時君主:0
LV2:0.2
LV3:0.4
LV4:0.6
LV5or籠城時NPC:1
籠城時君主:2
</t>
        </r>
      </text>
    </comment>
    <comment ref="E2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攻撃力上昇130％
とゲーム画面に出ている場合は0.3と記入
</t>
        </r>
      </text>
    </comment>
  </commentList>
</comments>
</file>

<file path=xl/comments2.xml><?xml version="1.0" encoding="utf-8"?>
<comments xmlns="http://schemas.openxmlformats.org/spreadsheetml/2006/main">
  <authors>
    <author>澤村恒治</author>
  </authors>
  <commentList>
    <comment ref="L17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自分が攻撃するときは記入不要です。
(相手の防御スキルを予想するときは使用してください。）</t>
        </r>
      </text>
    </comment>
    <comment ref="E1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槍兵科武将
槍兵の進撃60％UP
の場合は武将欄と槍欄両方に0.6と記入
</t>
        </r>
      </text>
    </comment>
    <comment ref="J1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LV1or平常時君主:0
LV2:0.2
LV3:0.4
LV4:0.6
LV5or籠城時NPC:1
籠城時君主:2
</t>
        </r>
      </text>
    </comment>
    <comment ref="E2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攻撃力上昇130％
とゲーム画面に出ている場合は0.3と記入
</t>
        </r>
      </text>
    </comment>
  </commentList>
</comments>
</file>

<file path=xl/sharedStrings.xml><?xml version="1.0" encoding="utf-8"?>
<sst xmlns="http://schemas.openxmlformats.org/spreadsheetml/2006/main" count="532" uniqueCount="92">
  <si>
    <t>攻撃側</t>
    <rPh sb="0" eb="2">
      <t>コウゲキ</t>
    </rPh>
    <rPh sb="2" eb="3">
      <t>ガワ</t>
    </rPh>
    <phoneticPr fontId="1"/>
  </si>
  <si>
    <t>歩兵</t>
    <rPh sb="0" eb="2">
      <t>ホヘイ</t>
    </rPh>
    <phoneticPr fontId="1"/>
  </si>
  <si>
    <t>剣兵</t>
    <rPh sb="0" eb="1">
      <t>ケン</t>
    </rPh>
    <rPh sb="1" eb="2">
      <t>ヘイ</t>
    </rPh>
    <phoneticPr fontId="1"/>
  </si>
  <si>
    <t>衝車</t>
    <rPh sb="0" eb="1">
      <t>ショウ</t>
    </rPh>
    <rPh sb="1" eb="2">
      <t>クルマ</t>
    </rPh>
    <phoneticPr fontId="1"/>
  </si>
  <si>
    <t>投石機</t>
    <rPh sb="0" eb="2">
      <t>トウセキ</t>
    </rPh>
    <rPh sb="2" eb="3">
      <t>キ</t>
    </rPh>
    <phoneticPr fontId="1"/>
  </si>
  <si>
    <t>斥候</t>
    <rPh sb="0" eb="2">
      <t>セッコウ</t>
    </rPh>
    <phoneticPr fontId="1"/>
  </si>
  <si>
    <t>槍</t>
    <rPh sb="0" eb="1">
      <t>ヤリ</t>
    </rPh>
    <phoneticPr fontId="1"/>
  </si>
  <si>
    <t>槍兵</t>
    <rPh sb="0" eb="1">
      <t>ヤリ</t>
    </rPh>
    <rPh sb="1" eb="2">
      <t>ヘイ</t>
    </rPh>
    <phoneticPr fontId="1"/>
  </si>
  <si>
    <t>矛槍兵</t>
    <rPh sb="0" eb="1">
      <t>ホコ</t>
    </rPh>
    <rPh sb="1" eb="2">
      <t>ヤリ</t>
    </rPh>
    <rPh sb="2" eb="3">
      <t>ヘイ</t>
    </rPh>
    <phoneticPr fontId="1"/>
  </si>
  <si>
    <t>弓</t>
    <rPh sb="0" eb="1">
      <t>ユミ</t>
    </rPh>
    <phoneticPr fontId="1"/>
  </si>
  <si>
    <t>弓兵</t>
    <rPh sb="0" eb="1">
      <t>ユミ</t>
    </rPh>
    <rPh sb="1" eb="2">
      <t>ヘイ</t>
    </rPh>
    <phoneticPr fontId="1"/>
  </si>
  <si>
    <t>弩兵</t>
    <rPh sb="0" eb="1">
      <t>ド</t>
    </rPh>
    <rPh sb="1" eb="2">
      <t>ヘイ</t>
    </rPh>
    <phoneticPr fontId="1"/>
  </si>
  <si>
    <t>馬</t>
    <rPh sb="0" eb="1">
      <t>ウマ</t>
    </rPh>
    <phoneticPr fontId="1"/>
  </si>
  <si>
    <t>騎兵</t>
    <rPh sb="0" eb="2">
      <t>キヘイ</t>
    </rPh>
    <phoneticPr fontId="1"/>
  </si>
  <si>
    <t>近衛騎兵</t>
    <rPh sb="0" eb="2">
      <t>コノエ</t>
    </rPh>
    <rPh sb="2" eb="4">
      <t>キヘイ</t>
    </rPh>
    <phoneticPr fontId="1"/>
  </si>
  <si>
    <t>斥候騎兵</t>
    <rPh sb="0" eb="2">
      <t>セッコウ</t>
    </rPh>
    <rPh sb="2" eb="4">
      <t>キヘイ</t>
    </rPh>
    <phoneticPr fontId="1"/>
  </si>
  <si>
    <t>兵種</t>
    <rPh sb="0" eb="1">
      <t>ヘイ</t>
    </rPh>
    <rPh sb="1" eb="2">
      <t>シュ</t>
    </rPh>
    <phoneticPr fontId="1"/>
  </si>
  <si>
    <t>出兵数</t>
    <rPh sb="0" eb="2">
      <t>シュッペイ</t>
    </rPh>
    <rPh sb="2" eb="3">
      <t>スウ</t>
    </rPh>
    <phoneticPr fontId="1"/>
  </si>
  <si>
    <t>被害数</t>
    <rPh sb="0" eb="2">
      <t>ヒガイ</t>
    </rPh>
    <rPh sb="2" eb="3">
      <t>スウ</t>
    </rPh>
    <phoneticPr fontId="1"/>
  </si>
  <si>
    <t>残り数</t>
    <rPh sb="0" eb="1">
      <t>ノコ</t>
    </rPh>
    <rPh sb="2" eb="3">
      <t>スウ</t>
    </rPh>
    <phoneticPr fontId="1"/>
  </si>
  <si>
    <t>出兵武将</t>
    <rPh sb="0" eb="2">
      <t>シュッペイ</t>
    </rPh>
    <rPh sb="2" eb="4">
      <t>ブショウ</t>
    </rPh>
    <phoneticPr fontId="1"/>
  </si>
  <si>
    <t>攻撃力</t>
    <rPh sb="0" eb="3">
      <t>コウゲキリョク</t>
    </rPh>
    <phoneticPr fontId="1"/>
  </si>
  <si>
    <t>兵科</t>
    <rPh sb="0" eb="2">
      <t>ヘイカ</t>
    </rPh>
    <phoneticPr fontId="1"/>
  </si>
  <si>
    <t>HP</t>
    <phoneticPr fontId="1"/>
  </si>
  <si>
    <t>攻撃課金</t>
    <rPh sb="0" eb="2">
      <t>コウゲキ</t>
    </rPh>
    <rPh sb="2" eb="4">
      <t>カキン</t>
    </rPh>
    <phoneticPr fontId="1"/>
  </si>
  <si>
    <t>武将残HP</t>
    <rPh sb="0" eb="2">
      <t>ブショウ</t>
    </rPh>
    <rPh sb="2" eb="3">
      <t>ノコ</t>
    </rPh>
    <phoneticPr fontId="1"/>
  </si>
  <si>
    <t>武将</t>
    <rPh sb="0" eb="2">
      <t>ブショウ</t>
    </rPh>
    <phoneticPr fontId="1"/>
  </si>
  <si>
    <t>矛</t>
    <rPh sb="0" eb="1">
      <t>ホコ</t>
    </rPh>
    <phoneticPr fontId="1"/>
  </si>
  <si>
    <t>弩</t>
    <rPh sb="0" eb="1">
      <t>ド</t>
    </rPh>
    <phoneticPr fontId="1"/>
  </si>
  <si>
    <t>近衛</t>
    <rPh sb="0" eb="2">
      <t>コノエ</t>
    </rPh>
    <phoneticPr fontId="1"/>
  </si>
  <si>
    <t>攻撃スキル・鍛冶場</t>
    <rPh sb="0" eb="2">
      <t>コウゲキ</t>
    </rPh>
    <rPh sb="6" eb="9">
      <t>カジバ</t>
    </rPh>
    <phoneticPr fontId="1"/>
  </si>
  <si>
    <t>防御スキル・防具工場</t>
    <rPh sb="0" eb="2">
      <t>ボウギョ</t>
    </rPh>
    <rPh sb="6" eb="8">
      <t>ボウグ</t>
    </rPh>
    <rPh sb="8" eb="10">
      <t>コウジョウ</t>
    </rPh>
    <phoneticPr fontId="1"/>
  </si>
  <si>
    <t>防御情報</t>
    <rPh sb="0" eb="2">
      <t>ボウギョ</t>
    </rPh>
    <rPh sb="2" eb="4">
      <t>ジョウホウ</t>
    </rPh>
    <phoneticPr fontId="1"/>
  </si>
  <si>
    <t>防御課金</t>
    <rPh sb="0" eb="2">
      <t>ボウギョ</t>
    </rPh>
    <rPh sb="2" eb="4">
      <t>カキン</t>
    </rPh>
    <phoneticPr fontId="1"/>
  </si>
  <si>
    <t>データ</t>
    <phoneticPr fontId="1"/>
  </si>
  <si>
    <t>　</t>
    <phoneticPr fontId="1"/>
  </si>
  <si>
    <t>攻撃補正後</t>
    <rPh sb="0" eb="2">
      <t>コウゲキ</t>
    </rPh>
    <rPh sb="2" eb="4">
      <t>ホセイ</t>
    </rPh>
    <rPh sb="4" eb="5">
      <t>ゴ</t>
    </rPh>
    <phoneticPr fontId="1"/>
  </si>
  <si>
    <t>鍛冶場</t>
    <rPh sb="0" eb="3">
      <t>カジバ</t>
    </rPh>
    <phoneticPr fontId="1"/>
  </si>
  <si>
    <t>スキル(小数で)</t>
    <rPh sb="4" eb="6">
      <t>ショウスウ</t>
    </rPh>
    <phoneticPr fontId="1"/>
  </si>
  <si>
    <t>兵器</t>
    <rPh sb="0" eb="2">
      <t>ヘイキ</t>
    </rPh>
    <phoneticPr fontId="1"/>
  </si>
  <si>
    <t>防御補正後</t>
    <rPh sb="0" eb="2">
      <t>ボウギョ</t>
    </rPh>
    <rPh sb="2" eb="4">
      <t>ホセイ</t>
    </rPh>
    <rPh sb="4" eb="5">
      <t>ゴ</t>
    </rPh>
    <phoneticPr fontId="1"/>
  </si>
  <si>
    <t>防具工場</t>
    <rPh sb="0" eb="2">
      <t>ボウグ</t>
    </rPh>
    <rPh sb="2" eb="4">
      <t>コウジョウ</t>
    </rPh>
    <phoneticPr fontId="1"/>
  </si>
  <si>
    <t>攻撃力補正×兵数</t>
    <rPh sb="0" eb="2">
      <t>コウゲキ</t>
    </rPh>
    <rPh sb="2" eb="3">
      <t>リョク</t>
    </rPh>
    <rPh sb="3" eb="5">
      <t>ホセイ</t>
    </rPh>
    <rPh sb="6" eb="7">
      <t>ヘイ</t>
    </rPh>
    <rPh sb="7" eb="8">
      <t>スウ</t>
    </rPh>
    <phoneticPr fontId="1"/>
  </si>
  <si>
    <t>防御側</t>
    <rPh sb="0" eb="2">
      <t>ボウギョ</t>
    </rPh>
    <rPh sb="2" eb="3">
      <t>ガワ</t>
    </rPh>
    <phoneticPr fontId="1"/>
  </si>
  <si>
    <t>総攻撃力</t>
    <rPh sb="0" eb="1">
      <t>ソウ</t>
    </rPh>
    <rPh sb="1" eb="4">
      <t>コウゲキリョク</t>
    </rPh>
    <phoneticPr fontId="1"/>
  </si>
  <si>
    <t>攻撃兵科数</t>
    <rPh sb="0" eb="2">
      <t>コウゲキ</t>
    </rPh>
    <rPh sb="2" eb="4">
      <t>ヘイカ</t>
    </rPh>
    <rPh sb="4" eb="5">
      <t>スウ</t>
    </rPh>
    <phoneticPr fontId="1"/>
  </si>
  <si>
    <t>武将兵科</t>
    <rPh sb="0" eb="2">
      <t>ブショウ</t>
    </rPh>
    <rPh sb="2" eb="4">
      <t>ヘイカ</t>
    </rPh>
    <phoneticPr fontId="1"/>
  </si>
  <si>
    <t>合計</t>
    <rPh sb="0" eb="2">
      <t>ゴウケイ</t>
    </rPh>
    <phoneticPr fontId="1"/>
  </si>
  <si>
    <t>総計</t>
    <rPh sb="0" eb="2">
      <t>ソウケイ</t>
    </rPh>
    <phoneticPr fontId="1"/>
  </si>
  <si>
    <t>割合防御計算</t>
    <rPh sb="0" eb="2">
      <t>ワリアイ</t>
    </rPh>
    <rPh sb="2" eb="4">
      <t>ボウギョ</t>
    </rPh>
    <rPh sb="4" eb="6">
      <t>ケイサン</t>
    </rPh>
    <phoneticPr fontId="1"/>
  </si>
  <si>
    <t>割合防御補正後×兵数</t>
    <rPh sb="0" eb="2">
      <t>ワリアイ</t>
    </rPh>
    <rPh sb="2" eb="4">
      <t>ボウギョ</t>
    </rPh>
    <rPh sb="4" eb="6">
      <t>ホセイ</t>
    </rPh>
    <rPh sb="6" eb="7">
      <t>ゴ</t>
    </rPh>
    <rPh sb="8" eb="9">
      <t>ヘイ</t>
    </rPh>
    <rPh sb="9" eb="10">
      <t>スウ</t>
    </rPh>
    <phoneticPr fontId="1"/>
  </si>
  <si>
    <t>総防御力</t>
    <rPh sb="0" eb="1">
      <t>ソウ</t>
    </rPh>
    <rPh sb="1" eb="4">
      <t>ボウギョリョク</t>
    </rPh>
    <phoneticPr fontId="1"/>
  </si>
  <si>
    <t>課金補正</t>
    <rPh sb="0" eb="2">
      <t>カキン</t>
    </rPh>
    <rPh sb="2" eb="4">
      <t>ホセイ</t>
    </rPh>
    <phoneticPr fontId="1"/>
  </si>
  <si>
    <t>領地LV・籠城</t>
    <rPh sb="0" eb="2">
      <t>リョウチ</t>
    </rPh>
    <rPh sb="5" eb="7">
      <t>ロウジョウ</t>
    </rPh>
    <phoneticPr fontId="1"/>
  </si>
  <si>
    <t>LV補正等</t>
    <rPh sb="2" eb="4">
      <t>ホセイ</t>
    </rPh>
    <rPh sb="4" eb="5">
      <t>トウ</t>
    </rPh>
    <phoneticPr fontId="1"/>
  </si>
  <si>
    <t>大事な計算</t>
    <rPh sb="0" eb="2">
      <t>ダイジ</t>
    </rPh>
    <rPh sb="3" eb="5">
      <t>ケイサン</t>
    </rPh>
    <phoneticPr fontId="1"/>
  </si>
  <si>
    <t>その1</t>
    <phoneticPr fontId="1"/>
  </si>
  <si>
    <t>その2</t>
    <phoneticPr fontId="1"/>
  </si>
  <si>
    <t>ダメ率</t>
    <rPh sb="2" eb="3">
      <t>リツ</t>
    </rPh>
    <phoneticPr fontId="1"/>
  </si>
  <si>
    <t>防御兵科数</t>
    <rPh sb="0" eb="2">
      <t>ボウギョ</t>
    </rPh>
    <rPh sb="2" eb="4">
      <t>ヘイカ</t>
    </rPh>
    <rPh sb="4" eb="5">
      <t>スウ</t>
    </rPh>
    <phoneticPr fontId="1"/>
  </si>
  <si>
    <t>被害割合計算</t>
    <rPh sb="0" eb="2">
      <t>ヒガイ</t>
    </rPh>
    <rPh sb="2" eb="4">
      <t>ワリアイ</t>
    </rPh>
    <rPh sb="4" eb="6">
      <t>ケイサン</t>
    </rPh>
    <phoneticPr fontId="1"/>
  </si>
  <si>
    <t>防御</t>
    <rPh sb="0" eb="2">
      <t>ボウギョ</t>
    </rPh>
    <phoneticPr fontId="1"/>
  </si>
  <si>
    <t>攻撃</t>
    <rPh sb="0" eb="2">
      <t>コウゲキ</t>
    </rPh>
    <phoneticPr fontId="1"/>
  </si>
  <si>
    <t>防御兵数</t>
    <rPh sb="0" eb="2">
      <t>ボウギョ</t>
    </rPh>
    <rPh sb="2" eb="3">
      <t>ヘイ</t>
    </rPh>
    <rPh sb="3" eb="4">
      <t>スウ</t>
    </rPh>
    <phoneticPr fontId="1"/>
  </si>
  <si>
    <t>被害割合</t>
    <rPh sb="0" eb="2">
      <t>ヒガイ</t>
    </rPh>
    <rPh sb="2" eb="4">
      <t>ワリアイ</t>
    </rPh>
    <phoneticPr fontId="1"/>
  </si>
  <si>
    <t>条件</t>
    <rPh sb="0" eb="2">
      <t>ジョウケン</t>
    </rPh>
    <phoneticPr fontId="1"/>
  </si>
  <si>
    <t>条件2</t>
    <rPh sb="0" eb="2">
      <t>ジョウケン</t>
    </rPh>
    <phoneticPr fontId="1"/>
  </si>
  <si>
    <t>2回目</t>
    <rPh sb="1" eb="3">
      <t>カイメ</t>
    </rPh>
    <phoneticPr fontId="1"/>
  </si>
  <si>
    <t>3種被害</t>
    <rPh sb="1" eb="2">
      <t>シュ</t>
    </rPh>
    <rPh sb="2" eb="4">
      <t>ヒガイ</t>
    </rPh>
    <phoneticPr fontId="1"/>
  </si>
  <si>
    <t>実際の被害</t>
    <rPh sb="0" eb="2">
      <t>ジッサイ</t>
    </rPh>
    <rPh sb="3" eb="5">
      <t>ヒガイ</t>
    </rPh>
    <phoneticPr fontId="1"/>
  </si>
  <si>
    <t>余った被害兵数</t>
    <rPh sb="0" eb="1">
      <t>アマ</t>
    </rPh>
    <rPh sb="3" eb="5">
      <t>ヒガイ</t>
    </rPh>
    <rPh sb="5" eb="6">
      <t>ヘイ</t>
    </rPh>
    <rPh sb="6" eb="7">
      <t>スウ</t>
    </rPh>
    <phoneticPr fontId="1"/>
  </si>
  <si>
    <t>被害数2回目終わり</t>
    <rPh sb="0" eb="2">
      <t>ヒガイ</t>
    </rPh>
    <rPh sb="2" eb="3">
      <t>スウ</t>
    </rPh>
    <rPh sb="4" eb="6">
      <t>カイメ</t>
    </rPh>
    <rPh sb="6" eb="7">
      <t>オ</t>
    </rPh>
    <phoneticPr fontId="1"/>
  </si>
  <si>
    <t>全部死んだら1</t>
    <rPh sb="0" eb="2">
      <t>ゼンブ</t>
    </rPh>
    <rPh sb="2" eb="3">
      <t>シ</t>
    </rPh>
    <phoneticPr fontId="1"/>
  </si>
  <si>
    <t>出力論理式</t>
    <rPh sb="0" eb="2">
      <t>シュツリョク</t>
    </rPh>
    <rPh sb="2" eb="4">
      <t>ロンリ</t>
    </rPh>
    <rPh sb="4" eb="5">
      <t>シキ</t>
    </rPh>
    <phoneticPr fontId="1"/>
  </si>
  <si>
    <t>誤差2以内</t>
    <rPh sb="0" eb="2">
      <t>ゴサ</t>
    </rPh>
    <rPh sb="3" eb="5">
      <t>イナイ</t>
    </rPh>
    <phoneticPr fontId="1"/>
  </si>
  <si>
    <t>3種ラスト</t>
    <rPh sb="1" eb="2">
      <t>シュ</t>
    </rPh>
    <phoneticPr fontId="1"/>
  </si>
  <si>
    <t>剣終1</t>
    <rPh sb="0" eb="1">
      <t>ケン</t>
    </rPh>
    <rPh sb="1" eb="2">
      <t>オ</t>
    </rPh>
    <phoneticPr fontId="1"/>
  </si>
  <si>
    <t>剣ラスト</t>
    <rPh sb="0" eb="1">
      <t>ケン</t>
    </rPh>
    <phoneticPr fontId="1"/>
  </si>
  <si>
    <t>被害割合</t>
    <rPh sb="0" eb="2">
      <t>ヒガイ</t>
    </rPh>
    <rPh sb="2" eb="4">
      <t>ワリアイ</t>
    </rPh>
    <phoneticPr fontId="1"/>
  </si>
  <si>
    <t>被害数</t>
    <rPh sb="0" eb="2">
      <t>ヒガイ</t>
    </rPh>
    <rPh sb="2" eb="3">
      <t>スウ</t>
    </rPh>
    <phoneticPr fontId="1"/>
  </si>
  <si>
    <t>剣終わり1</t>
    <rPh sb="0" eb="1">
      <t>ケン</t>
    </rPh>
    <rPh sb="1" eb="2">
      <t>オ</t>
    </rPh>
    <phoneticPr fontId="1"/>
  </si>
  <si>
    <t>条件</t>
    <rPh sb="0" eb="2">
      <t>ジョウケン</t>
    </rPh>
    <phoneticPr fontId="1"/>
  </si>
  <si>
    <t>2回目</t>
    <rPh sb="1" eb="3">
      <t>カイメ</t>
    </rPh>
    <phoneticPr fontId="1"/>
  </si>
  <si>
    <t>条件2</t>
    <rPh sb="0" eb="2">
      <t>ジョウケン</t>
    </rPh>
    <phoneticPr fontId="1"/>
  </si>
  <si>
    <t>被害数2回目</t>
    <rPh sb="0" eb="2">
      <t>ヒガイ</t>
    </rPh>
    <rPh sb="2" eb="3">
      <t>スウ</t>
    </rPh>
    <rPh sb="4" eb="6">
      <t>カイメ</t>
    </rPh>
    <phoneticPr fontId="1"/>
  </si>
  <si>
    <t>誤差2以内</t>
    <rPh sb="0" eb="2">
      <t>ゴサ</t>
    </rPh>
    <rPh sb="3" eb="5">
      <t>イナイ</t>
    </rPh>
    <phoneticPr fontId="1"/>
  </si>
  <si>
    <t>勝敗</t>
    <rPh sb="0" eb="2">
      <t>ショウハイ</t>
    </rPh>
    <phoneticPr fontId="1"/>
  </si>
  <si>
    <t>値を代入してください</t>
    <rPh sb="0" eb="1">
      <t>アタイ</t>
    </rPh>
    <rPh sb="2" eb="4">
      <t>ダイニュウ</t>
    </rPh>
    <phoneticPr fontId="1"/>
  </si>
  <si>
    <t>出力欄です
触らないように</t>
    <rPh sb="0" eb="2">
      <t>シュツリョク</t>
    </rPh>
    <rPh sb="2" eb="3">
      <t>ラン</t>
    </rPh>
    <rPh sb="6" eb="7">
      <t>サワ</t>
    </rPh>
    <phoneticPr fontId="1"/>
  </si>
  <si>
    <t>槍</t>
    <phoneticPr fontId="1"/>
  </si>
  <si>
    <t>殲滅戦</t>
    <rPh sb="0" eb="2">
      <t>センメツ</t>
    </rPh>
    <rPh sb="2" eb="3">
      <t>セン</t>
    </rPh>
    <phoneticPr fontId="1"/>
  </si>
  <si>
    <t>強襲戦</t>
    <rPh sb="0" eb="2">
      <t>キョウシュウ</t>
    </rPh>
    <rPh sb="2" eb="3">
      <t>セン</t>
    </rPh>
    <phoneticPr fontId="1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</si>
</sst>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2" fillId="0" borderId="0" xfId="0" applyFont="1">
      <alignment vertical="center"/>
    </xf>
    <xf numFmtId="0" fontId="0" fillId="3" borderId="1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5" borderId="1" xfId="0" applyFill="1" applyBorder="1">
      <alignment vertical="center"/>
    </xf>
    <xf numFmtId="0" fontId="5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0" fillId="6" borderId="1" xfId="0" applyFill="1" applyBorder="1">
      <alignment vertical="center"/>
    </xf>
    <xf numFmtId="0" fontId="6" fillId="0" borderId="1" xfId="0" applyFont="1" applyBorder="1">
      <alignment vertical="center"/>
    </xf>
    <xf numFmtId="0" fontId="0" fillId="7" borderId="1" xfId="0" applyFill="1" applyBorder="1">
      <alignment vertical="center"/>
    </xf>
    <xf numFmtId="0" fontId="0" fillId="8" borderId="1" xfId="0" applyFill="1" applyBorder="1">
      <alignment vertical="center"/>
    </xf>
    <xf numFmtId="0" fontId="0" fillId="8" borderId="0" xfId="0" applyFill="1">
      <alignment vertical="center"/>
    </xf>
    <xf numFmtId="0" fontId="0" fillId="0" borderId="0" xfId="0" applyFill="1">
      <alignment vertical="center"/>
    </xf>
    <xf numFmtId="0" fontId="6" fillId="0" borderId="1" xfId="0" applyFont="1" applyFill="1" applyBorder="1">
      <alignment vertical="center"/>
    </xf>
    <xf numFmtId="0" fontId="0" fillId="9" borderId="1" xfId="0" applyFill="1" applyBorder="1">
      <alignment vertical="center"/>
    </xf>
    <xf numFmtId="0" fontId="0" fillId="10" borderId="1" xfId="0" applyFill="1" applyBorder="1">
      <alignment vertical="center"/>
    </xf>
    <xf numFmtId="0" fontId="6" fillId="9" borderId="1" xfId="0" applyFont="1" applyFill="1" applyBorder="1">
      <alignment vertical="center"/>
    </xf>
    <xf numFmtId="0" fontId="0" fillId="5" borderId="0" xfId="0" applyFill="1" applyBorder="1">
      <alignment vertical="center"/>
    </xf>
    <xf numFmtId="0" fontId="6" fillId="10" borderId="1" xfId="0" applyFont="1" applyFill="1" applyBorder="1">
      <alignment vertical="center"/>
    </xf>
    <xf numFmtId="0" fontId="0" fillId="11" borderId="1" xfId="0" applyFill="1" applyBorder="1">
      <alignment vertical="center"/>
    </xf>
    <xf numFmtId="0" fontId="0" fillId="12" borderId="1" xfId="0" applyFill="1" applyBorder="1">
      <alignment vertical="center"/>
    </xf>
    <xf numFmtId="0" fontId="7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7"/>
  <sheetViews>
    <sheetView tabSelected="1" topLeftCell="A23" workbookViewId="0">
      <selection activeCell="I33" sqref="I33"/>
    </sheetView>
  </sheetViews>
  <sheetFormatPr defaultRowHeight="13.5"/>
  <cols>
    <col min="14" max="14" width="9.5" bestFit="1" customWidth="1"/>
    <col min="15" max="20" width="9" customWidth="1"/>
  </cols>
  <sheetData>
    <row r="1" spans="1:14">
      <c r="A1" s="34" t="s">
        <v>90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4.2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>
      <c r="A4" s="6"/>
      <c r="B4" s="1" t="s">
        <v>0</v>
      </c>
      <c r="C4" s="36" t="s">
        <v>1</v>
      </c>
      <c r="D4" s="36"/>
      <c r="E4" s="36"/>
      <c r="F4" s="36"/>
      <c r="G4" s="36" t="s">
        <v>6</v>
      </c>
      <c r="H4" s="36"/>
      <c r="I4" s="36" t="s">
        <v>9</v>
      </c>
      <c r="J4" s="36"/>
      <c r="K4" s="36" t="s">
        <v>12</v>
      </c>
      <c r="L4" s="36"/>
      <c r="M4" s="36"/>
      <c r="N4" s="7"/>
    </row>
    <row r="5" spans="1:14">
      <c r="A5" s="6"/>
      <c r="B5" s="1" t="s">
        <v>16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7</v>
      </c>
      <c r="H5" s="1" t="s">
        <v>8</v>
      </c>
      <c r="I5" s="1" t="s">
        <v>10</v>
      </c>
      <c r="J5" s="1" t="s">
        <v>11</v>
      </c>
      <c r="K5" s="1" t="s">
        <v>13</v>
      </c>
      <c r="L5" s="1" t="s">
        <v>14</v>
      </c>
      <c r="M5" s="1" t="s">
        <v>15</v>
      </c>
      <c r="N5" s="7"/>
    </row>
    <row r="6" spans="1:14">
      <c r="A6" s="6"/>
      <c r="B6" s="1" t="s">
        <v>17</v>
      </c>
      <c r="C6" s="2">
        <v>10000</v>
      </c>
      <c r="D6" s="2">
        <v>50</v>
      </c>
      <c r="E6" s="2">
        <v>0</v>
      </c>
      <c r="F6" s="2">
        <v>0</v>
      </c>
      <c r="G6" s="2">
        <v>5000</v>
      </c>
      <c r="H6" s="2"/>
      <c r="I6" s="2">
        <v>0</v>
      </c>
      <c r="J6" s="2">
        <v>0</v>
      </c>
      <c r="K6" s="2">
        <v>0</v>
      </c>
      <c r="L6" s="2">
        <v>0</v>
      </c>
      <c r="M6" s="2">
        <v>0</v>
      </c>
      <c r="N6" s="7"/>
    </row>
    <row r="7" spans="1:14">
      <c r="A7" s="6"/>
      <c r="B7" s="1" t="s">
        <v>18</v>
      </c>
      <c r="C7" s="33">
        <f>IF($J$58&gt;1,C105,C6)</f>
        <v>5436</v>
      </c>
      <c r="D7" s="33">
        <f t="shared" ref="D7:F7" si="0">IF($J$58&gt;1,D105,D6)</f>
        <v>27</v>
      </c>
      <c r="E7" s="33">
        <f t="shared" si="0"/>
        <v>0</v>
      </c>
      <c r="F7" s="33">
        <f t="shared" si="0"/>
        <v>0</v>
      </c>
      <c r="G7" s="33">
        <f>IF($J$58&gt;1,G104,G6)</f>
        <v>4100</v>
      </c>
      <c r="H7" s="33">
        <f t="shared" ref="H7:M7" si="1">IF($J$58&gt;1,H104,H6)</f>
        <v>0</v>
      </c>
      <c r="I7" s="33">
        <f t="shared" si="1"/>
        <v>0</v>
      </c>
      <c r="J7" s="33">
        <f t="shared" si="1"/>
        <v>0</v>
      </c>
      <c r="K7" s="33">
        <f t="shared" si="1"/>
        <v>0</v>
      </c>
      <c r="L7" s="33">
        <f t="shared" si="1"/>
        <v>0</v>
      </c>
      <c r="M7" s="33">
        <f t="shared" si="1"/>
        <v>0</v>
      </c>
      <c r="N7" s="7"/>
    </row>
    <row r="8" spans="1:14">
      <c r="A8" s="6"/>
      <c r="B8" s="1" t="s">
        <v>19</v>
      </c>
      <c r="C8" s="33">
        <f>C6-C7</f>
        <v>4564</v>
      </c>
      <c r="D8" s="33">
        <f t="shared" ref="D8:M8" si="2">D6-D7</f>
        <v>23</v>
      </c>
      <c r="E8" s="33">
        <f t="shared" si="2"/>
        <v>0</v>
      </c>
      <c r="F8" s="33">
        <f t="shared" si="2"/>
        <v>0</v>
      </c>
      <c r="G8" s="33">
        <f t="shared" si="2"/>
        <v>900</v>
      </c>
      <c r="H8" s="33">
        <f t="shared" si="2"/>
        <v>0</v>
      </c>
      <c r="I8" s="33">
        <f t="shared" si="2"/>
        <v>0</v>
      </c>
      <c r="J8" s="33">
        <f t="shared" si="2"/>
        <v>0</v>
      </c>
      <c r="K8" s="33">
        <f t="shared" si="2"/>
        <v>0</v>
      </c>
      <c r="L8" s="33">
        <f t="shared" si="2"/>
        <v>0</v>
      </c>
      <c r="M8" s="33">
        <f t="shared" si="2"/>
        <v>0</v>
      </c>
      <c r="N8" s="7"/>
    </row>
    <row r="9" spans="1:14">
      <c r="A9" s="6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7"/>
    </row>
    <row r="10" spans="1:14">
      <c r="A10" s="6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7"/>
    </row>
    <row r="11" spans="1:14">
      <c r="A11" s="6"/>
      <c r="B11" s="1" t="s">
        <v>43</v>
      </c>
      <c r="C11" s="36" t="s">
        <v>1</v>
      </c>
      <c r="D11" s="36"/>
      <c r="E11" s="36"/>
      <c r="F11" s="36"/>
      <c r="G11" s="36" t="s">
        <v>6</v>
      </c>
      <c r="H11" s="36"/>
      <c r="I11" s="36" t="s">
        <v>9</v>
      </c>
      <c r="J11" s="36"/>
      <c r="K11" s="36" t="s">
        <v>12</v>
      </c>
      <c r="L11" s="36"/>
      <c r="M11" s="36"/>
      <c r="N11" s="7"/>
    </row>
    <row r="12" spans="1:14">
      <c r="A12" s="6"/>
      <c r="B12" s="1" t="s">
        <v>16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7</v>
      </c>
      <c r="H12" s="1" t="s">
        <v>8</v>
      </c>
      <c r="I12" s="1" t="s">
        <v>10</v>
      </c>
      <c r="J12" s="1" t="s">
        <v>11</v>
      </c>
      <c r="K12" s="1" t="s">
        <v>13</v>
      </c>
      <c r="L12" s="1" t="s">
        <v>14</v>
      </c>
      <c r="M12" s="1" t="s">
        <v>15</v>
      </c>
      <c r="N12" s="7"/>
    </row>
    <row r="13" spans="1:14">
      <c r="A13" s="6"/>
      <c r="B13" s="1" t="s">
        <v>17</v>
      </c>
      <c r="C13" s="2">
        <v>1000</v>
      </c>
      <c r="D13" s="2"/>
      <c r="E13" s="2"/>
      <c r="F13" s="2"/>
      <c r="G13" s="2">
        <v>1000</v>
      </c>
      <c r="H13" s="2"/>
      <c r="I13" s="2">
        <v>200</v>
      </c>
      <c r="J13" s="2">
        <v>1000</v>
      </c>
      <c r="K13" s="2">
        <v>30</v>
      </c>
      <c r="L13" s="2">
        <v>0</v>
      </c>
      <c r="M13" s="2">
        <v>0</v>
      </c>
      <c r="N13" s="7"/>
    </row>
    <row r="14" spans="1:14">
      <c r="A14" s="6"/>
      <c r="B14" s="1" t="s">
        <v>18</v>
      </c>
      <c r="C14" s="33">
        <f>IF($J$58&lt;=1,C125,C13)</f>
        <v>1000</v>
      </c>
      <c r="D14" s="33">
        <f t="shared" ref="D14:F14" si="3">IF($J$58&lt;=1,D125,D13)</f>
        <v>0</v>
      </c>
      <c r="E14" s="33">
        <f t="shared" si="3"/>
        <v>0</v>
      </c>
      <c r="F14" s="33">
        <f t="shared" si="3"/>
        <v>0</v>
      </c>
      <c r="G14" s="33">
        <f>IF($J$58&lt;=1,G124,G13)</f>
        <v>1000</v>
      </c>
      <c r="H14" s="33">
        <f t="shared" ref="H14:M14" si="4">IF($J$58&lt;=1,H124,H13)</f>
        <v>0</v>
      </c>
      <c r="I14" s="33">
        <f t="shared" si="4"/>
        <v>200</v>
      </c>
      <c r="J14" s="33">
        <f t="shared" si="4"/>
        <v>1000</v>
      </c>
      <c r="K14" s="33">
        <f t="shared" si="4"/>
        <v>30</v>
      </c>
      <c r="L14" s="33">
        <f t="shared" si="4"/>
        <v>0</v>
      </c>
      <c r="M14" s="33">
        <f t="shared" si="4"/>
        <v>0</v>
      </c>
      <c r="N14" s="7"/>
    </row>
    <row r="15" spans="1:14">
      <c r="A15" s="6"/>
      <c r="B15" s="1" t="s">
        <v>19</v>
      </c>
      <c r="C15" s="33">
        <f>C13-C14</f>
        <v>0</v>
      </c>
      <c r="D15" s="33">
        <f t="shared" ref="D15:M15" si="5">D13-D14</f>
        <v>0</v>
      </c>
      <c r="E15" s="33">
        <f t="shared" si="5"/>
        <v>0</v>
      </c>
      <c r="F15" s="33">
        <f t="shared" si="5"/>
        <v>0</v>
      </c>
      <c r="G15" s="33">
        <f t="shared" si="5"/>
        <v>0</v>
      </c>
      <c r="H15" s="33">
        <f t="shared" si="5"/>
        <v>0</v>
      </c>
      <c r="I15" s="33">
        <f t="shared" si="5"/>
        <v>0</v>
      </c>
      <c r="J15" s="33">
        <f t="shared" si="5"/>
        <v>0</v>
      </c>
      <c r="K15" s="33">
        <f t="shared" si="5"/>
        <v>0</v>
      </c>
      <c r="L15" s="33">
        <f t="shared" si="5"/>
        <v>0</v>
      </c>
      <c r="M15" s="33">
        <f t="shared" si="5"/>
        <v>0</v>
      </c>
      <c r="N15" s="7"/>
    </row>
    <row r="16" spans="1:14">
      <c r="A16" s="6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7"/>
    </row>
    <row r="17" spans="1:14">
      <c r="A17" s="6"/>
      <c r="B17" s="8" t="s">
        <v>20</v>
      </c>
      <c r="C17" s="8"/>
      <c r="D17" s="8"/>
      <c r="E17" s="39" t="s">
        <v>30</v>
      </c>
      <c r="F17" s="39"/>
      <c r="G17" s="8"/>
      <c r="H17" s="8"/>
      <c r="I17" s="8" t="s">
        <v>32</v>
      </c>
      <c r="J17" s="8"/>
      <c r="K17" s="8"/>
      <c r="L17" s="39" t="s">
        <v>31</v>
      </c>
      <c r="M17" s="39"/>
      <c r="N17" s="7"/>
    </row>
    <row r="18" spans="1:14">
      <c r="A18" s="6"/>
      <c r="B18" s="1" t="s">
        <v>21</v>
      </c>
      <c r="C18" s="2"/>
      <c r="D18" s="8"/>
      <c r="E18" s="40" t="s">
        <v>38</v>
      </c>
      <c r="F18" s="40"/>
      <c r="G18" s="8"/>
      <c r="H18" s="8"/>
      <c r="I18" s="19" t="s">
        <v>53</v>
      </c>
      <c r="J18" s="2"/>
      <c r="K18" s="8"/>
      <c r="L18" s="40" t="s">
        <v>38</v>
      </c>
      <c r="M18" s="40"/>
      <c r="N18" s="7"/>
    </row>
    <row r="19" spans="1:14">
      <c r="A19" s="6"/>
      <c r="B19" s="1" t="s">
        <v>22</v>
      </c>
      <c r="C19" s="2" t="s">
        <v>89</v>
      </c>
      <c r="D19" s="8"/>
      <c r="E19" s="1" t="s">
        <v>26</v>
      </c>
      <c r="F19" s="2"/>
      <c r="G19" s="8"/>
      <c r="H19" s="8"/>
      <c r="I19" s="1" t="s">
        <v>33</v>
      </c>
      <c r="J19" s="2"/>
      <c r="K19" s="8"/>
      <c r="L19" s="1" t="s">
        <v>26</v>
      </c>
      <c r="M19" s="2"/>
      <c r="N19" s="7"/>
    </row>
    <row r="20" spans="1:14">
      <c r="A20" s="6"/>
      <c r="B20" s="1" t="s">
        <v>23</v>
      </c>
      <c r="C20" s="2">
        <v>100</v>
      </c>
      <c r="D20" s="8"/>
      <c r="E20" s="1" t="s">
        <v>2</v>
      </c>
      <c r="F20" s="2"/>
      <c r="G20" s="8"/>
      <c r="H20" s="14"/>
      <c r="J20" s="14"/>
      <c r="K20" s="8"/>
      <c r="L20" s="1" t="s">
        <v>2</v>
      </c>
      <c r="M20" s="2"/>
      <c r="N20" s="7"/>
    </row>
    <row r="21" spans="1:14">
      <c r="A21" s="6"/>
      <c r="B21" s="1" t="s">
        <v>24</v>
      </c>
      <c r="C21" s="2"/>
      <c r="D21" s="8"/>
      <c r="E21" s="1" t="s">
        <v>6</v>
      </c>
      <c r="F21" s="2"/>
      <c r="G21" s="8"/>
      <c r="H21" s="8"/>
      <c r="I21" s="8"/>
      <c r="J21" s="8"/>
      <c r="K21" s="8"/>
      <c r="L21" s="1" t="s">
        <v>6</v>
      </c>
      <c r="M21" s="2"/>
      <c r="N21" s="7"/>
    </row>
    <row r="22" spans="1:14">
      <c r="A22" s="6"/>
      <c r="B22" s="1" t="s">
        <v>25</v>
      </c>
      <c r="C22" s="33">
        <f>IF(J58&gt;1,ROUNDDOWN(C20*(1-J61),0),0)</f>
        <v>36</v>
      </c>
      <c r="D22" s="8"/>
      <c r="E22" s="1" t="s">
        <v>9</v>
      </c>
      <c r="F22" s="2"/>
      <c r="G22" s="8"/>
      <c r="H22" s="8"/>
      <c r="I22" s="8"/>
      <c r="J22" s="8"/>
      <c r="K22" s="8"/>
      <c r="L22" s="1" t="s">
        <v>9</v>
      </c>
      <c r="M22" s="2"/>
      <c r="N22" s="7"/>
    </row>
    <row r="23" spans="1:14">
      <c r="A23" s="6"/>
      <c r="B23" s="15" t="s">
        <v>86</v>
      </c>
      <c r="C23" s="33" t="str">
        <f>IF(C22&gt;=1,"勝ち","（ﾉ･∀･）ﾉ = ●ｳﾝｺｰ!!")</f>
        <v>勝ち</v>
      </c>
      <c r="D23" s="8"/>
      <c r="E23" s="1" t="s">
        <v>12</v>
      </c>
      <c r="F23" s="2"/>
      <c r="G23" s="8"/>
      <c r="H23" s="8"/>
      <c r="I23" s="8"/>
      <c r="J23" s="8"/>
      <c r="K23" s="8"/>
      <c r="L23" s="1" t="s">
        <v>12</v>
      </c>
      <c r="M23" s="2"/>
      <c r="N23" s="7"/>
    </row>
    <row r="24" spans="1:14">
      <c r="A24" s="6"/>
      <c r="B24" s="8"/>
      <c r="C24" s="8"/>
      <c r="D24" s="8"/>
      <c r="E24" s="1" t="s">
        <v>39</v>
      </c>
      <c r="F24" s="2"/>
      <c r="G24" s="8"/>
      <c r="H24" s="8"/>
      <c r="I24" s="8"/>
      <c r="J24" s="8"/>
      <c r="K24" s="8"/>
      <c r="L24" s="1" t="s">
        <v>39</v>
      </c>
      <c r="M24" s="2"/>
      <c r="N24" s="7"/>
    </row>
    <row r="25" spans="1:14">
      <c r="A25" s="6"/>
      <c r="B25" s="8"/>
      <c r="C25" s="8"/>
      <c r="D25" s="8"/>
      <c r="E25" s="37" t="s">
        <v>37</v>
      </c>
      <c r="F25" s="38"/>
      <c r="G25" s="8"/>
      <c r="H25" s="44"/>
      <c r="I25" s="42" t="s">
        <v>87</v>
      </c>
      <c r="J25" s="42"/>
      <c r="K25" s="8"/>
      <c r="L25" s="37" t="s">
        <v>41</v>
      </c>
      <c r="M25" s="38"/>
      <c r="N25" s="7"/>
    </row>
    <row r="26" spans="1:14">
      <c r="A26" s="6"/>
      <c r="B26" s="8"/>
      <c r="C26" s="8"/>
      <c r="D26" s="8"/>
      <c r="E26" s="1" t="s">
        <v>2</v>
      </c>
      <c r="F26" s="2"/>
      <c r="G26" s="8"/>
      <c r="H26" s="45"/>
      <c r="I26" s="42"/>
      <c r="J26" s="42"/>
      <c r="K26" s="8"/>
      <c r="L26" s="1" t="s">
        <v>2</v>
      </c>
      <c r="M26" s="2"/>
      <c r="N26" s="7"/>
    </row>
    <row r="27" spans="1:14">
      <c r="A27" s="6"/>
      <c r="B27" s="8"/>
      <c r="C27" s="8"/>
      <c r="D27" s="8"/>
      <c r="E27" s="1" t="s">
        <v>3</v>
      </c>
      <c r="F27" s="2"/>
      <c r="G27" s="8"/>
      <c r="H27" s="46"/>
      <c r="I27" s="43" t="s">
        <v>88</v>
      </c>
      <c r="J27" s="43"/>
      <c r="K27" s="8"/>
      <c r="L27" s="1" t="s">
        <v>3</v>
      </c>
      <c r="M27" s="2"/>
      <c r="N27" s="7"/>
    </row>
    <row r="28" spans="1:14">
      <c r="A28" s="6"/>
      <c r="B28" s="8"/>
      <c r="C28" s="8"/>
      <c r="D28" s="8"/>
      <c r="E28" s="1" t="s">
        <v>4</v>
      </c>
      <c r="F28" s="2"/>
      <c r="G28" s="8"/>
      <c r="H28" s="47"/>
      <c r="I28" s="43"/>
      <c r="J28" s="43"/>
      <c r="K28" s="8"/>
      <c r="L28" s="1" t="s">
        <v>4</v>
      </c>
      <c r="M28" s="2"/>
      <c r="N28" s="7"/>
    </row>
    <row r="29" spans="1:14">
      <c r="A29" s="6"/>
      <c r="B29" s="8"/>
      <c r="C29" s="8"/>
      <c r="D29" s="8"/>
      <c r="E29" s="1" t="s">
        <v>7</v>
      </c>
      <c r="F29" s="2"/>
      <c r="G29" s="8"/>
      <c r="H29" s="8"/>
      <c r="I29" s="8"/>
      <c r="J29" s="8"/>
      <c r="K29" s="8"/>
      <c r="L29" s="1" t="s">
        <v>7</v>
      </c>
      <c r="M29" s="2"/>
      <c r="N29" s="7"/>
    </row>
    <row r="30" spans="1:14">
      <c r="A30" s="6"/>
      <c r="B30" s="8"/>
      <c r="C30" s="8"/>
      <c r="D30" s="8"/>
      <c r="E30" s="1" t="s">
        <v>27</v>
      </c>
      <c r="F30" s="2"/>
      <c r="G30" s="8"/>
      <c r="H30" s="8"/>
      <c r="I30" s="8"/>
      <c r="J30" s="8"/>
      <c r="K30" s="8"/>
      <c r="L30" s="1" t="s">
        <v>27</v>
      </c>
      <c r="M30" s="2"/>
      <c r="N30" s="7"/>
    </row>
    <row r="31" spans="1:14">
      <c r="A31" s="6"/>
      <c r="B31" s="8"/>
      <c r="C31" s="8"/>
      <c r="D31" s="8"/>
      <c r="E31" s="1" t="s">
        <v>10</v>
      </c>
      <c r="F31" s="2"/>
      <c r="G31" s="8"/>
      <c r="H31" s="8"/>
      <c r="I31" s="8"/>
      <c r="J31" s="8"/>
      <c r="K31" s="8"/>
      <c r="L31" s="1" t="s">
        <v>10</v>
      </c>
      <c r="M31" s="2"/>
      <c r="N31" s="7"/>
    </row>
    <row r="32" spans="1:14">
      <c r="A32" s="6"/>
      <c r="B32" s="8"/>
      <c r="C32" s="8"/>
      <c r="D32" s="8"/>
      <c r="E32" s="1" t="s">
        <v>28</v>
      </c>
      <c r="F32" s="2"/>
      <c r="G32" s="8"/>
      <c r="H32" s="8"/>
      <c r="I32" s="8"/>
      <c r="J32" s="8"/>
      <c r="K32" s="8"/>
      <c r="L32" s="1" t="s">
        <v>28</v>
      </c>
      <c r="M32" s="2"/>
      <c r="N32" s="7"/>
    </row>
    <row r="33" spans="1:18">
      <c r="A33" s="6"/>
      <c r="B33" s="8"/>
      <c r="C33" s="8"/>
      <c r="D33" s="8"/>
      <c r="E33" s="1" t="s">
        <v>13</v>
      </c>
      <c r="F33" s="2"/>
      <c r="G33" s="8"/>
      <c r="H33" s="8"/>
      <c r="I33" s="8"/>
      <c r="J33" s="8"/>
      <c r="K33" s="8"/>
      <c r="L33" s="1" t="s">
        <v>13</v>
      </c>
      <c r="M33" s="2"/>
      <c r="N33" s="7"/>
    </row>
    <row r="34" spans="1:18">
      <c r="A34" s="6"/>
      <c r="B34" s="8"/>
      <c r="C34" s="8"/>
      <c r="D34" s="8"/>
      <c r="E34" s="1" t="s">
        <v>29</v>
      </c>
      <c r="F34" s="2"/>
      <c r="G34" s="8"/>
      <c r="H34" s="8"/>
      <c r="I34" s="8"/>
      <c r="J34" s="8"/>
      <c r="K34" s="8"/>
      <c r="L34" s="1" t="s">
        <v>29</v>
      </c>
      <c r="M34" s="2"/>
      <c r="N34" s="7"/>
    </row>
    <row r="35" spans="1:18">
      <c r="A35" s="6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7"/>
    </row>
    <row r="36" spans="1:18">
      <c r="A36" s="6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7"/>
    </row>
    <row r="37" spans="1:18" ht="14.25" thickBot="1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/>
    </row>
    <row r="38" spans="1:18" hidden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8" hidden="1">
      <c r="A39" t="s">
        <v>34</v>
      </c>
    </row>
    <row r="40" spans="1:18" hidden="1">
      <c r="B40" s="1"/>
      <c r="C40" s="1" t="s">
        <v>21</v>
      </c>
      <c r="D40" s="1" t="s">
        <v>1</v>
      </c>
      <c r="E40" s="1" t="s">
        <v>6</v>
      </c>
      <c r="F40" s="1" t="s">
        <v>9</v>
      </c>
      <c r="G40" s="1" t="s">
        <v>12</v>
      </c>
      <c r="I40" s="36" t="s">
        <v>42</v>
      </c>
      <c r="J40" s="36"/>
      <c r="L40" s="40" t="s">
        <v>50</v>
      </c>
      <c r="M40" s="40"/>
      <c r="O40" s="28" t="s">
        <v>1</v>
      </c>
      <c r="P40" s="1" t="s">
        <v>6</v>
      </c>
      <c r="Q40" s="1" t="s">
        <v>9</v>
      </c>
      <c r="R40" s="1" t="s">
        <v>12</v>
      </c>
    </row>
    <row r="41" spans="1:18" hidden="1">
      <c r="A41" t="s">
        <v>35</v>
      </c>
      <c r="B41" s="1" t="s">
        <v>2</v>
      </c>
      <c r="C41" s="15">
        <v>15</v>
      </c>
      <c r="D41" s="15">
        <v>15</v>
      </c>
      <c r="E41" s="15">
        <v>10</v>
      </c>
      <c r="F41" s="15">
        <v>10</v>
      </c>
      <c r="G41" s="15">
        <v>10</v>
      </c>
      <c r="I41" s="1" t="s">
        <v>2</v>
      </c>
      <c r="J41" s="1">
        <f>C54*C6</f>
        <v>150000</v>
      </c>
      <c r="L41" s="1" t="s">
        <v>2</v>
      </c>
      <c r="M41" s="1">
        <f>H72*C13</f>
        <v>13338.648594777755</v>
      </c>
      <c r="O41" s="1">
        <f>A54*D54</f>
        <v>15000</v>
      </c>
      <c r="P41" s="1">
        <f>A54*E54</f>
        <v>10000</v>
      </c>
      <c r="Q41" s="1">
        <f>A54*F54</f>
        <v>10000</v>
      </c>
      <c r="R41" s="1">
        <f>A54*G54</f>
        <v>10000</v>
      </c>
    </row>
    <row r="42" spans="1:18" hidden="1">
      <c r="B42" s="1" t="s">
        <v>3</v>
      </c>
      <c r="C42" s="15">
        <v>15</v>
      </c>
      <c r="D42" s="15">
        <v>10</v>
      </c>
      <c r="E42" s="15">
        <v>10</v>
      </c>
      <c r="F42" s="15">
        <v>10</v>
      </c>
      <c r="G42" s="15">
        <v>10</v>
      </c>
      <c r="I42" s="1" t="s">
        <v>3</v>
      </c>
      <c r="J42" s="1">
        <f>C55*D6</f>
        <v>750</v>
      </c>
      <c r="L42" s="1" t="s">
        <v>3</v>
      </c>
      <c r="M42" s="1">
        <f>H73*D13</f>
        <v>0</v>
      </c>
      <c r="O42" s="1">
        <f t="shared" ref="O42:O51" si="6">A55*D55</f>
        <v>0</v>
      </c>
      <c r="P42" s="1">
        <f t="shared" ref="P42:P51" si="7">A55*E55</f>
        <v>0</v>
      </c>
      <c r="Q42" s="1">
        <f t="shared" ref="Q42:Q51" si="8">A55*F55</f>
        <v>0</v>
      </c>
      <c r="R42" s="1">
        <f t="shared" ref="R42:R51" si="9">A55*G55</f>
        <v>0</v>
      </c>
    </row>
    <row r="43" spans="1:18" hidden="1">
      <c r="B43" s="1" t="s">
        <v>4</v>
      </c>
      <c r="C43" s="15">
        <v>30</v>
      </c>
      <c r="D43" s="15">
        <v>15</v>
      </c>
      <c r="E43" s="15">
        <v>15</v>
      </c>
      <c r="F43" s="15">
        <v>15</v>
      </c>
      <c r="G43" s="15">
        <v>15</v>
      </c>
      <c r="I43" s="1" t="s">
        <v>4</v>
      </c>
      <c r="J43" s="1">
        <f>C56*E6</f>
        <v>0</v>
      </c>
      <c r="L43" s="1" t="s">
        <v>4</v>
      </c>
      <c r="M43" s="1">
        <f>H74*E13</f>
        <v>0</v>
      </c>
      <c r="O43" s="1">
        <f t="shared" si="6"/>
        <v>0</v>
      </c>
      <c r="P43" s="1">
        <f t="shared" si="7"/>
        <v>0</v>
      </c>
      <c r="Q43" s="1">
        <f t="shared" si="8"/>
        <v>0</v>
      </c>
      <c r="R43" s="1">
        <f t="shared" si="9"/>
        <v>0</v>
      </c>
    </row>
    <row r="44" spans="1:18" hidden="1">
      <c r="B44" s="1" t="s">
        <v>5</v>
      </c>
      <c r="C44" s="15">
        <v>0</v>
      </c>
      <c r="D44" s="15">
        <v>10</v>
      </c>
      <c r="E44" s="15">
        <v>10</v>
      </c>
      <c r="F44" s="15">
        <v>5</v>
      </c>
      <c r="G44" s="15">
        <v>5</v>
      </c>
      <c r="I44" s="1" t="s">
        <v>5</v>
      </c>
      <c r="J44" s="1">
        <f>C57*F6</f>
        <v>0</v>
      </c>
      <c r="L44" s="1" t="s">
        <v>5</v>
      </c>
      <c r="M44" s="1">
        <f>F13</f>
        <v>0</v>
      </c>
      <c r="O44" s="1">
        <f t="shared" si="6"/>
        <v>0</v>
      </c>
      <c r="P44" s="1">
        <f t="shared" si="7"/>
        <v>0</v>
      </c>
      <c r="Q44" s="1">
        <f t="shared" si="8"/>
        <v>0</v>
      </c>
      <c r="R44" s="1">
        <f t="shared" si="9"/>
        <v>0</v>
      </c>
    </row>
    <row r="45" spans="1:18" hidden="1">
      <c r="B45" s="1" t="s">
        <v>7</v>
      </c>
      <c r="C45" s="15">
        <v>40</v>
      </c>
      <c r="D45" s="15">
        <v>50</v>
      </c>
      <c r="E45" s="15">
        <v>40</v>
      </c>
      <c r="F45" s="15">
        <v>25</v>
      </c>
      <c r="G45" s="15">
        <v>55</v>
      </c>
      <c r="I45" s="1" t="s">
        <v>7</v>
      </c>
      <c r="J45" s="1">
        <f>C58*G6</f>
        <v>200000</v>
      </c>
      <c r="L45" s="1" t="s">
        <v>7</v>
      </c>
      <c r="M45" s="1">
        <f>H76*G13</f>
        <v>46677.297189555517</v>
      </c>
      <c r="O45" s="1">
        <f t="shared" si="6"/>
        <v>50000</v>
      </c>
      <c r="P45" s="1">
        <f t="shared" si="7"/>
        <v>40000</v>
      </c>
      <c r="Q45" s="1">
        <f t="shared" si="8"/>
        <v>25000</v>
      </c>
      <c r="R45" s="1">
        <f t="shared" si="9"/>
        <v>55000</v>
      </c>
    </row>
    <row r="46" spans="1:18" hidden="1">
      <c r="B46" s="1" t="s">
        <v>8</v>
      </c>
      <c r="C46" s="15">
        <v>100</v>
      </c>
      <c r="D46" s="15">
        <v>200</v>
      </c>
      <c r="E46" s="15">
        <v>100</v>
      </c>
      <c r="F46" s="15">
        <v>63</v>
      </c>
      <c r="G46" s="15">
        <v>137</v>
      </c>
      <c r="I46" s="1" t="s">
        <v>8</v>
      </c>
      <c r="J46" s="1">
        <f>C59*H6</f>
        <v>0</v>
      </c>
      <c r="L46" s="1" t="s">
        <v>8</v>
      </c>
      <c r="M46" s="1">
        <f>H77*H13</f>
        <v>0</v>
      </c>
      <c r="O46" s="1">
        <f t="shared" si="6"/>
        <v>0</v>
      </c>
      <c r="P46" s="1">
        <f t="shared" si="7"/>
        <v>0</v>
      </c>
      <c r="Q46" s="1">
        <f t="shared" si="8"/>
        <v>0</v>
      </c>
      <c r="R46" s="1">
        <f t="shared" si="9"/>
        <v>0</v>
      </c>
    </row>
    <row r="47" spans="1:18" hidden="1">
      <c r="B47" s="1" t="s">
        <v>10</v>
      </c>
      <c r="C47" s="15">
        <v>42</v>
      </c>
      <c r="D47" s="15">
        <v>52</v>
      </c>
      <c r="E47" s="15">
        <v>58</v>
      </c>
      <c r="F47" s="15">
        <v>42</v>
      </c>
      <c r="G47" s="15">
        <v>26</v>
      </c>
      <c r="I47" s="1" t="s">
        <v>10</v>
      </c>
      <c r="J47" s="1">
        <f>C60*I6</f>
        <v>0</v>
      </c>
      <c r="L47" s="1" t="s">
        <v>10</v>
      </c>
      <c r="M47" s="1">
        <f>H78*I13</f>
        <v>10798.724337253338</v>
      </c>
      <c r="O47" s="1">
        <f t="shared" si="6"/>
        <v>10400</v>
      </c>
      <c r="P47" s="1">
        <f t="shared" si="7"/>
        <v>11600</v>
      </c>
      <c r="Q47" s="1">
        <f t="shared" si="8"/>
        <v>8400</v>
      </c>
      <c r="R47" s="1">
        <f t="shared" si="9"/>
        <v>5200</v>
      </c>
    </row>
    <row r="48" spans="1:18" hidden="1">
      <c r="B48" s="1" t="s">
        <v>11</v>
      </c>
      <c r="C48" s="15">
        <v>105</v>
      </c>
      <c r="D48" s="15">
        <v>208</v>
      </c>
      <c r="E48" s="15">
        <v>145</v>
      </c>
      <c r="F48" s="15">
        <v>105</v>
      </c>
      <c r="G48" s="15">
        <v>65</v>
      </c>
      <c r="I48" s="1" t="s">
        <v>11</v>
      </c>
      <c r="J48" s="1">
        <f>C61*J6</f>
        <v>0</v>
      </c>
      <c r="L48" s="1" t="s">
        <v>11</v>
      </c>
      <c r="M48" s="1">
        <f>H79*J13</f>
        <v>187066.97229419969</v>
      </c>
      <c r="O48" s="1">
        <f t="shared" si="6"/>
        <v>208000</v>
      </c>
      <c r="P48" s="1">
        <f t="shared" si="7"/>
        <v>145000</v>
      </c>
      <c r="Q48" s="1">
        <f t="shared" si="8"/>
        <v>105000</v>
      </c>
      <c r="R48" s="1">
        <f t="shared" si="9"/>
        <v>65000</v>
      </c>
    </row>
    <row r="49" spans="1:18" hidden="1">
      <c r="B49" s="1" t="s">
        <v>13</v>
      </c>
      <c r="C49" s="15">
        <v>44</v>
      </c>
      <c r="D49" s="15">
        <v>54</v>
      </c>
      <c r="E49" s="15">
        <v>28</v>
      </c>
      <c r="F49" s="15">
        <v>60</v>
      </c>
      <c r="G49" s="15">
        <v>44</v>
      </c>
      <c r="I49" s="1" t="s">
        <v>13</v>
      </c>
      <c r="J49" s="1">
        <f>C62*K6</f>
        <v>0</v>
      </c>
      <c r="L49" s="1" t="s">
        <v>13</v>
      </c>
      <c r="M49" s="1">
        <f>H80*K13</f>
        <v>1360.8291807853298</v>
      </c>
      <c r="O49" s="1">
        <f t="shared" si="6"/>
        <v>1620</v>
      </c>
      <c r="P49" s="1">
        <f t="shared" si="7"/>
        <v>840</v>
      </c>
      <c r="Q49" s="1">
        <f t="shared" si="8"/>
        <v>1800</v>
      </c>
      <c r="R49" s="1">
        <f t="shared" si="9"/>
        <v>1320</v>
      </c>
    </row>
    <row r="50" spans="1:18" hidden="1">
      <c r="B50" s="1" t="s">
        <v>14</v>
      </c>
      <c r="C50" s="15">
        <v>110</v>
      </c>
      <c r="D50" s="15">
        <v>216</v>
      </c>
      <c r="E50" s="15">
        <v>70</v>
      </c>
      <c r="F50" s="15">
        <v>150</v>
      </c>
      <c r="G50" s="15">
        <v>110</v>
      </c>
      <c r="I50" s="1" t="s">
        <v>14</v>
      </c>
      <c r="J50" s="1">
        <f>C63*L6</f>
        <v>0</v>
      </c>
      <c r="L50" s="1" t="s">
        <v>14</v>
      </c>
      <c r="M50" s="1">
        <f>H81*L13</f>
        <v>0</v>
      </c>
      <c r="O50" s="1">
        <f t="shared" si="6"/>
        <v>0</v>
      </c>
      <c r="P50" s="1">
        <f t="shared" si="7"/>
        <v>0</v>
      </c>
      <c r="Q50" s="1">
        <f t="shared" si="8"/>
        <v>0</v>
      </c>
      <c r="R50" s="1">
        <f t="shared" si="9"/>
        <v>0</v>
      </c>
    </row>
    <row r="51" spans="1:18" hidden="1">
      <c r="B51" s="1" t="s">
        <v>15</v>
      </c>
      <c r="C51" s="15">
        <v>0</v>
      </c>
      <c r="D51" s="15">
        <v>30</v>
      </c>
      <c r="E51" s="15">
        <v>10</v>
      </c>
      <c r="F51" s="15">
        <v>40</v>
      </c>
      <c r="G51" s="15">
        <v>20</v>
      </c>
      <c r="I51" s="1" t="s">
        <v>15</v>
      </c>
      <c r="J51" s="1">
        <f>C64*M6</f>
        <v>0</v>
      </c>
      <c r="L51" s="1" t="s">
        <v>15</v>
      </c>
      <c r="M51" s="1">
        <f>M13</f>
        <v>0</v>
      </c>
      <c r="O51" s="1">
        <f t="shared" si="6"/>
        <v>0</v>
      </c>
      <c r="P51" s="1">
        <f t="shared" si="7"/>
        <v>0</v>
      </c>
      <c r="Q51" s="1">
        <f t="shared" si="8"/>
        <v>0</v>
      </c>
      <c r="R51" s="1">
        <f t="shared" si="9"/>
        <v>0</v>
      </c>
    </row>
    <row r="52" spans="1:18" hidden="1">
      <c r="I52" s="15" t="s">
        <v>44</v>
      </c>
      <c r="J52" s="15">
        <f>SUM(J41:J51)+C18*(1+F19)*C20/100</f>
        <v>350750</v>
      </c>
      <c r="L52" s="15" t="s">
        <v>51</v>
      </c>
      <c r="M52" s="15">
        <f>SUM(M41:M51)</f>
        <v>259242.47159657162</v>
      </c>
      <c r="O52" s="15">
        <f>SUM(O41:O51)</f>
        <v>285020</v>
      </c>
      <c r="P52" s="15">
        <f t="shared" ref="P52:R52" si="10">SUM(P41:P51)</f>
        <v>207440</v>
      </c>
      <c r="Q52" s="15">
        <f t="shared" si="10"/>
        <v>150200</v>
      </c>
      <c r="R52" s="15">
        <f t="shared" si="10"/>
        <v>136520</v>
      </c>
    </row>
    <row r="53" spans="1:18" hidden="1">
      <c r="A53" t="s">
        <v>63</v>
      </c>
      <c r="C53" s="12" t="s">
        <v>36</v>
      </c>
      <c r="D53" s="12" t="s">
        <v>40</v>
      </c>
      <c r="I53" s="13" t="s">
        <v>52</v>
      </c>
      <c r="J53" s="13">
        <f>IF(C21="あり",J52*1.1,J52)</f>
        <v>350750</v>
      </c>
      <c r="L53" s="15" t="s">
        <v>54</v>
      </c>
      <c r="M53" s="1">
        <f>M52*(1+J18)</f>
        <v>259242.47159657162</v>
      </c>
    </row>
    <row r="54" spans="1:18" hidden="1">
      <c r="A54">
        <f>C13</f>
        <v>1000</v>
      </c>
      <c r="B54" s="1" t="s">
        <v>2</v>
      </c>
      <c r="C54" s="13">
        <f>C41*(1+F20+F26)</f>
        <v>15</v>
      </c>
      <c r="D54" s="15">
        <f>D41*(1+$M$20+$M$26)</f>
        <v>15</v>
      </c>
      <c r="E54" s="15">
        <f t="shared" ref="E54:G54" si="11">E41*(1+$M$20+$M$26)</f>
        <v>10</v>
      </c>
      <c r="F54" s="15">
        <f t="shared" si="11"/>
        <v>10</v>
      </c>
      <c r="G54" s="15">
        <f t="shared" si="11"/>
        <v>10</v>
      </c>
      <c r="L54" s="17" t="s">
        <v>52</v>
      </c>
      <c r="M54" s="17">
        <f>IF(J19="あり",M53*1.1,M53)</f>
        <v>259242.47159657162</v>
      </c>
    </row>
    <row r="55" spans="1:18" hidden="1">
      <c r="A55">
        <f>D13</f>
        <v>0</v>
      </c>
      <c r="B55" s="1" t="s">
        <v>3</v>
      </c>
      <c r="C55" s="13">
        <f>C42*(1+F27+F24)</f>
        <v>15</v>
      </c>
      <c r="D55" s="15">
        <f>D42*(1+$M$24+$M$27)</f>
        <v>10</v>
      </c>
      <c r="E55" s="15">
        <f t="shared" ref="E55:G55" si="12">E42*(1+$M$24+$M$27)</f>
        <v>10</v>
      </c>
      <c r="F55" s="15">
        <f t="shared" si="12"/>
        <v>10</v>
      </c>
      <c r="G55" s="15">
        <f t="shared" si="12"/>
        <v>10</v>
      </c>
    </row>
    <row r="56" spans="1:18" hidden="1">
      <c r="A56">
        <f>E13</f>
        <v>0</v>
      </c>
      <c r="B56" s="1" t="s">
        <v>4</v>
      </c>
      <c r="C56" s="13">
        <f>C43*(1+F28+F24)</f>
        <v>30</v>
      </c>
      <c r="D56" s="15">
        <f>D43*(1+$M$24+$M$28)</f>
        <v>15</v>
      </c>
      <c r="E56" s="15">
        <f t="shared" ref="E56:G56" si="13">E43*(1+$M$24+$M$28)</f>
        <v>15</v>
      </c>
      <c r="F56" s="15">
        <f t="shared" si="13"/>
        <v>15</v>
      </c>
      <c r="G56" s="15">
        <f t="shared" si="13"/>
        <v>15</v>
      </c>
    </row>
    <row r="57" spans="1:18" hidden="1">
      <c r="A57">
        <f>F13</f>
        <v>0</v>
      </c>
      <c r="B57" s="1" t="s">
        <v>5</v>
      </c>
      <c r="C57" s="13">
        <v>0</v>
      </c>
      <c r="D57" s="15">
        <f>D44</f>
        <v>10</v>
      </c>
      <c r="E57" s="15">
        <f t="shared" ref="E57:G57" si="14">E44</f>
        <v>10</v>
      </c>
      <c r="F57" s="15">
        <f t="shared" si="14"/>
        <v>5</v>
      </c>
      <c r="G57" s="15">
        <f t="shared" si="14"/>
        <v>5</v>
      </c>
      <c r="I57" t="s">
        <v>55</v>
      </c>
    </row>
    <row r="58" spans="1:18" hidden="1">
      <c r="A58">
        <f>G13</f>
        <v>1000</v>
      </c>
      <c r="B58" s="1" t="s">
        <v>7</v>
      </c>
      <c r="C58" s="13">
        <f>C45*(F21+F29+1)</f>
        <v>40</v>
      </c>
      <c r="D58" s="15">
        <f>D45*(1+$M$21+$M$29)</f>
        <v>50</v>
      </c>
      <c r="E58" s="15">
        <f t="shared" ref="E58:G58" si="15">E45*(1+$M$21+$M$29)</f>
        <v>40</v>
      </c>
      <c r="F58" s="15">
        <f t="shared" si="15"/>
        <v>25</v>
      </c>
      <c r="G58" s="15">
        <f t="shared" si="15"/>
        <v>55</v>
      </c>
      <c r="I58" t="s">
        <v>56</v>
      </c>
      <c r="J58">
        <f>$J$53/$M$54</f>
        <v>1.3529804658930684</v>
      </c>
    </row>
    <row r="59" spans="1:18" hidden="1">
      <c r="A59">
        <f>H13</f>
        <v>0</v>
      </c>
      <c r="B59" s="1" t="s">
        <v>8</v>
      </c>
      <c r="C59" s="13">
        <f>C46*(1+F21+F30)</f>
        <v>100</v>
      </c>
      <c r="D59" s="15">
        <f>D46*(1+$M$21+$M$30)</f>
        <v>200</v>
      </c>
      <c r="E59" s="15">
        <f t="shared" ref="E59:G59" si="16">E46*(1+$M$21+$M$30)</f>
        <v>100</v>
      </c>
      <c r="F59" s="15">
        <f t="shared" si="16"/>
        <v>63</v>
      </c>
      <c r="G59" s="15">
        <f t="shared" si="16"/>
        <v>137</v>
      </c>
      <c r="I59" t="s">
        <v>57</v>
      </c>
      <c r="J59">
        <f>J58^1.5</f>
        <v>1.5737556038384624</v>
      </c>
      <c r="K59">
        <f>J58^-1.5</f>
        <v>0.6354226778039449</v>
      </c>
    </row>
    <row r="60" spans="1:18" hidden="1">
      <c r="A60">
        <f>I13</f>
        <v>200</v>
      </c>
      <c r="B60" s="1" t="s">
        <v>10</v>
      </c>
      <c r="C60" s="13">
        <f>C47*(1+F22+F31)</f>
        <v>42</v>
      </c>
      <c r="D60" s="15">
        <f>D47*(1+$M$22+$M$31)</f>
        <v>52</v>
      </c>
      <c r="E60" s="15">
        <f t="shared" ref="E60:G60" si="17">E47*(1+$M$22+$M$31)</f>
        <v>58</v>
      </c>
      <c r="F60" s="15">
        <f t="shared" si="17"/>
        <v>42</v>
      </c>
      <c r="G60" s="15">
        <f t="shared" si="17"/>
        <v>26</v>
      </c>
      <c r="I60" s="1"/>
      <c r="J60" s="1" t="s">
        <v>0</v>
      </c>
      <c r="K60" s="1" t="s">
        <v>43</v>
      </c>
    </row>
    <row r="61" spans="1:18" hidden="1">
      <c r="A61">
        <f>J13</f>
        <v>1000</v>
      </c>
      <c r="B61" s="1" t="s">
        <v>11</v>
      </c>
      <c r="C61" s="13">
        <f>C48*(1+F22+F32)</f>
        <v>105</v>
      </c>
      <c r="D61" s="15">
        <f>D48*(1+$M$22+$M$32)</f>
        <v>208</v>
      </c>
      <c r="E61" s="15">
        <f t="shared" ref="E61:G61" si="18">E48*(1+$M$22+$M$32)</f>
        <v>145</v>
      </c>
      <c r="F61" s="15">
        <f t="shared" si="18"/>
        <v>105</v>
      </c>
      <c r="G61" s="15">
        <f t="shared" si="18"/>
        <v>65</v>
      </c>
      <c r="I61" s="1" t="s">
        <v>58</v>
      </c>
      <c r="J61" s="13">
        <f>IF(J58&gt;1,K59,1)</f>
        <v>0.6354226778039449</v>
      </c>
      <c r="K61" s="17">
        <f>IF(J58&lt;=1,J59,1)</f>
        <v>1</v>
      </c>
    </row>
    <row r="62" spans="1:18" hidden="1">
      <c r="A62">
        <f>K13</f>
        <v>30</v>
      </c>
      <c r="B62" s="1" t="s">
        <v>13</v>
      </c>
      <c r="C62" s="13">
        <f>C49*(1+F23+F33)</f>
        <v>44</v>
      </c>
      <c r="D62" s="15">
        <f>D49*(1+$M$23+$M$33)</f>
        <v>54</v>
      </c>
      <c r="E62" s="15">
        <f t="shared" ref="E62:G62" si="19">E49*(1+$M$23+$M$33)</f>
        <v>28</v>
      </c>
      <c r="F62" s="15">
        <f t="shared" si="19"/>
        <v>60</v>
      </c>
      <c r="G62" s="15">
        <f t="shared" si="19"/>
        <v>44</v>
      </c>
      <c r="I62" s="15" t="s">
        <v>17</v>
      </c>
      <c r="J62" s="1">
        <f>SUM(C6:M6)</f>
        <v>15050</v>
      </c>
      <c r="K62" s="1">
        <f>SUM(C13:M13)</f>
        <v>3230</v>
      </c>
    </row>
    <row r="63" spans="1:18" hidden="1">
      <c r="A63">
        <f>L13</f>
        <v>0</v>
      </c>
      <c r="B63" s="1" t="s">
        <v>14</v>
      </c>
      <c r="C63" s="13">
        <f>C50*(1+F23+F34)</f>
        <v>110</v>
      </c>
      <c r="D63" s="15">
        <f>D50*(1+$M$23+$M$34)</f>
        <v>216</v>
      </c>
      <c r="E63" s="15">
        <f t="shared" ref="E63:G63" si="20">E50*(1+$M$23+$M$34)</f>
        <v>70</v>
      </c>
      <c r="F63" s="15">
        <f t="shared" si="20"/>
        <v>150</v>
      </c>
      <c r="G63" s="15">
        <f t="shared" si="20"/>
        <v>110</v>
      </c>
      <c r="I63" s="15" t="s">
        <v>18</v>
      </c>
      <c r="J63" s="13">
        <f>ROUNDDOWN(J62*J61,0)</f>
        <v>9563</v>
      </c>
      <c r="K63" s="17">
        <f>K62*K61</f>
        <v>3230</v>
      </c>
    </row>
    <row r="64" spans="1:18" hidden="1">
      <c r="A64">
        <f>M13</f>
        <v>0</v>
      </c>
      <c r="B64" s="1" t="s">
        <v>15</v>
      </c>
      <c r="C64" s="13">
        <f>C51</f>
        <v>0</v>
      </c>
      <c r="D64" s="15">
        <f>D51*(1+$M$23)</f>
        <v>30</v>
      </c>
      <c r="E64" s="15">
        <f t="shared" ref="E64:G64" si="21">E51*(1+$M$23)</f>
        <v>10</v>
      </c>
      <c r="F64" s="15">
        <f t="shared" si="21"/>
        <v>40</v>
      </c>
      <c r="G64" s="15">
        <f t="shared" si="21"/>
        <v>20</v>
      </c>
    </row>
    <row r="65" spans="3:20" hidden="1"/>
    <row r="66" spans="3:20" hidden="1">
      <c r="C66" s="18" t="s">
        <v>45</v>
      </c>
      <c r="D66" s="1" t="s">
        <v>1</v>
      </c>
      <c r="E66" s="1" t="s">
        <v>6</v>
      </c>
      <c r="F66" s="1" t="s">
        <v>9</v>
      </c>
      <c r="G66" s="1" t="s">
        <v>12</v>
      </c>
      <c r="I66" s="18" t="s">
        <v>59</v>
      </c>
      <c r="J66" s="1" t="s">
        <v>1</v>
      </c>
      <c r="K66" s="1" t="s">
        <v>6</v>
      </c>
      <c r="L66" s="1" t="s">
        <v>9</v>
      </c>
      <c r="M66" s="1" t="s">
        <v>12</v>
      </c>
      <c r="N66" s="15" t="s">
        <v>48</v>
      </c>
    </row>
    <row r="67" spans="3:20" hidden="1">
      <c r="C67" s="19" t="s">
        <v>45</v>
      </c>
      <c r="D67" s="1">
        <f>SUM(C6:F6)</f>
        <v>10050</v>
      </c>
      <c r="E67" s="1">
        <f>SUM(G6:H6)</f>
        <v>5000</v>
      </c>
      <c r="F67" s="1">
        <f>SUM(I6:J6)</f>
        <v>0</v>
      </c>
      <c r="G67" s="1">
        <f>SUM(K6:M6)</f>
        <v>0</v>
      </c>
      <c r="I67" s="1"/>
      <c r="J67" s="1">
        <f>SUM(C13:F13)</f>
        <v>1000</v>
      </c>
      <c r="K67" s="1">
        <f>SUM(G13:H13)</f>
        <v>1000</v>
      </c>
      <c r="L67" s="1">
        <f>SUM(I13:J13)</f>
        <v>1200</v>
      </c>
      <c r="M67" s="1">
        <f>SUM(K13:M13)</f>
        <v>30</v>
      </c>
      <c r="N67" s="1">
        <f>SUM(J67:M67)</f>
        <v>3230</v>
      </c>
    </row>
    <row r="68" spans="3:20" hidden="1">
      <c r="C68" s="1" t="s">
        <v>46</v>
      </c>
      <c r="D68" s="1">
        <f>IF($C$19="歩兵",1,0)</f>
        <v>0</v>
      </c>
      <c r="E68" s="1">
        <f t="shared" ref="E68" si="22">IF($C$19="槍",1,0)</f>
        <v>1</v>
      </c>
      <c r="F68" s="1">
        <f>IF($C$19="弓",1,0)</f>
        <v>0</v>
      </c>
      <c r="G68" s="1">
        <f>IF($C$19="馬",1,0)</f>
        <v>0</v>
      </c>
      <c r="H68" t="s">
        <v>48</v>
      </c>
    </row>
    <row r="69" spans="3:20" hidden="1">
      <c r="C69" s="1" t="s">
        <v>47</v>
      </c>
      <c r="D69" s="1">
        <f>SUM(D67:D68)</f>
        <v>10050</v>
      </c>
      <c r="E69" s="1">
        <f t="shared" ref="E69:F69" si="23">SUM(E67:E68)</f>
        <v>5001</v>
      </c>
      <c r="F69" s="1">
        <f t="shared" si="23"/>
        <v>0</v>
      </c>
      <c r="G69" s="1">
        <f>SUM(G67:G68)</f>
        <v>0</v>
      </c>
      <c r="H69" s="15">
        <f>SUM(D69:G69)</f>
        <v>15051</v>
      </c>
    </row>
    <row r="70" spans="3:20" hidden="1">
      <c r="J70" s="27">
        <v>15</v>
      </c>
      <c r="K70" s="1">
        <v>10</v>
      </c>
      <c r="L70" s="1">
        <v>15</v>
      </c>
      <c r="M70" s="1">
        <v>10</v>
      </c>
      <c r="N70" s="1">
        <v>50</v>
      </c>
      <c r="O70" s="1">
        <v>200</v>
      </c>
      <c r="P70" s="1">
        <v>52</v>
      </c>
      <c r="Q70" s="1">
        <v>208</v>
      </c>
      <c r="R70" s="1">
        <v>54</v>
      </c>
      <c r="S70" s="1">
        <v>216</v>
      </c>
      <c r="T70" s="1">
        <v>30</v>
      </c>
    </row>
    <row r="71" spans="3:20" hidden="1">
      <c r="C71" s="41" t="s">
        <v>49</v>
      </c>
      <c r="D71" s="41"/>
      <c r="J71" s="1">
        <v>10</v>
      </c>
      <c r="K71" s="1">
        <v>10</v>
      </c>
      <c r="L71" s="1">
        <v>15</v>
      </c>
      <c r="M71" s="1">
        <v>10</v>
      </c>
      <c r="N71" s="1">
        <v>40</v>
      </c>
      <c r="O71" s="1">
        <v>100</v>
      </c>
      <c r="P71" s="1">
        <v>58</v>
      </c>
      <c r="Q71" s="1">
        <v>145</v>
      </c>
      <c r="R71" s="1">
        <v>28</v>
      </c>
      <c r="S71" s="1">
        <v>70</v>
      </c>
      <c r="T71" s="1">
        <v>10</v>
      </c>
    </row>
    <row r="72" spans="3:20" hidden="1">
      <c r="C72" s="1" t="s">
        <v>2</v>
      </c>
      <c r="D72" s="1">
        <f>D54*$D$69/$H$69</f>
        <v>10.015945784333267</v>
      </c>
      <c r="E72" s="1">
        <f>E54*$E$69/$H$69</f>
        <v>3.3227028104444889</v>
      </c>
      <c r="F72" s="1">
        <f>F54*$F$69/$H$69</f>
        <v>0</v>
      </c>
      <c r="G72" s="1">
        <f>G54*$G$69/$H$69</f>
        <v>0</v>
      </c>
      <c r="H72" s="17">
        <f>SUM(D72:G72)</f>
        <v>13.338648594777755</v>
      </c>
      <c r="J72" s="1">
        <v>10</v>
      </c>
      <c r="K72" s="1">
        <v>10</v>
      </c>
      <c r="L72" s="1">
        <v>15</v>
      </c>
      <c r="M72" s="1">
        <v>5</v>
      </c>
      <c r="N72" s="1">
        <v>25</v>
      </c>
      <c r="O72" s="1">
        <v>63</v>
      </c>
      <c r="P72" s="1">
        <v>42</v>
      </c>
      <c r="Q72" s="1">
        <v>105</v>
      </c>
      <c r="R72" s="1">
        <v>60</v>
      </c>
      <c r="S72" s="1">
        <v>150</v>
      </c>
      <c r="T72" s="1">
        <v>40</v>
      </c>
    </row>
    <row r="73" spans="3:20" hidden="1">
      <c r="C73" s="1" t="s">
        <v>3</v>
      </c>
      <c r="D73" s="1">
        <f t="shared" ref="D73:D82" si="24">D55*$D$69/$H$69</f>
        <v>6.6772971895555111</v>
      </c>
      <c r="E73" s="1">
        <f t="shared" ref="E73:E82" si="25">E55*$E$69/$H$69</f>
        <v>3.3227028104444889</v>
      </c>
      <c r="F73" s="1">
        <f t="shared" ref="F73:F82" si="26">F55*$F$69/$H$69</f>
        <v>0</v>
      </c>
      <c r="G73" s="1">
        <f t="shared" ref="G73:G82" si="27">G55*$G$69/$H$69</f>
        <v>0</v>
      </c>
      <c r="H73" s="17">
        <f t="shared" ref="H73:H82" si="28">SUM(D73:G73)</f>
        <v>10</v>
      </c>
      <c r="J73" s="1">
        <v>10</v>
      </c>
      <c r="K73" s="1">
        <v>10</v>
      </c>
      <c r="L73" s="1">
        <v>15</v>
      </c>
      <c r="M73" s="1">
        <v>5</v>
      </c>
      <c r="N73" s="1">
        <v>55</v>
      </c>
      <c r="O73" s="1">
        <v>137</v>
      </c>
      <c r="P73" s="1">
        <v>26</v>
      </c>
      <c r="Q73" s="1">
        <v>65</v>
      </c>
      <c r="R73" s="1">
        <v>44</v>
      </c>
      <c r="S73" s="1">
        <v>110</v>
      </c>
      <c r="T73" s="1">
        <v>20</v>
      </c>
    </row>
    <row r="74" spans="3:20" hidden="1">
      <c r="C74" s="1" t="s">
        <v>4</v>
      </c>
      <c r="D74" s="1">
        <f t="shared" si="24"/>
        <v>10.015945784333267</v>
      </c>
      <c r="E74" s="1">
        <f t="shared" si="25"/>
        <v>4.9840542156667329</v>
      </c>
      <c r="F74" s="1">
        <f t="shared" si="26"/>
        <v>0</v>
      </c>
      <c r="G74" s="1">
        <f t="shared" si="27"/>
        <v>0</v>
      </c>
      <c r="H74" s="17">
        <f t="shared" si="28"/>
        <v>15</v>
      </c>
      <c r="J74" s="1">
        <f>J70*C$6</f>
        <v>150000</v>
      </c>
      <c r="K74" s="1">
        <f t="shared" ref="K74:T77" si="29">K70*D$6</f>
        <v>500</v>
      </c>
      <c r="L74" s="1">
        <f t="shared" si="29"/>
        <v>0</v>
      </c>
      <c r="M74" s="1">
        <f t="shared" si="29"/>
        <v>0</v>
      </c>
      <c r="N74" s="1">
        <f t="shared" si="29"/>
        <v>250000</v>
      </c>
      <c r="O74" s="1">
        <f t="shared" si="29"/>
        <v>0</v>
      </c>
      <c r="P74" s="1">
        <f t="shared" si="29"/>
        <v>0</v>
      </c>
      <c r="Q74" s="1">
        <f t="shared" si="29"/>
        <v>0</v>
      </c>
      <c r="R74" s="1">
        <f t="shared" si="29"/>
        <v>0</v>
      </c>
      <c r="S74" s="1">
        <f t="shared" si="29"/>
        <v>0</v>
      </c>
      <c r="T74" s="1">
        <f t="shared" si="29"/>
        <v>0</v>
      </c>
    </row>
    <row r="75" spans="3:20" hidden="1">
      <c r="C75" s="1" t="s">
        <v>5</v>
      </c>
      <c r="D75" s="1">
        <f t="shared" si="24"/>
        <v>6.6772971895555111</v>
      </c>
      <c r="E75" s="1">
        <f t="shared" si="25"/>
        <v>3.3227028104444889</v>
      </c>
      <c r="F75" s="1">
        <f t="shared" si="26"/>
        <v>0</v>
      </c>
      <c r="G75" s="1">
        <f t="shared" si="27"/>
        <v>0</v>
      </c>
      <c r="H75" s="17">
        <f t="shared" si="28"/>
        <v>10</v>
      </c>
      <c r="J75" s="1">
        <f t="shared" ref="J75:J77" si="30">J71*C$6</f>
        <v>100000</v>
      </c>
      <c r="K75" s="1">
        <f t="shared" si="29"/>
        <v>500</v>
      </c>
      <c r="L75" s="1">
        <f t="shared" si="29"/>
        <v>0</v>
      </c>
      <c r="M75" s="1">
        <f t="shared" si="29"/>
        <v>0</v>
      </c>
      <c r="N75" s="1">
        <f t="shared" si="29"/>
        <v>200000</v>
      </c>
      <c r="O75" s="1">
        <f t="shared" si="29"/>
        <v>0</v>
      </c>
      <c r="P75" s="1">
        <f t="shared" si="29"/>
        <v>0</v>
      </c>
      <c r="Q75" s="1">
        <f t="shared" si="29"/>
        <v>0</v>
      </c>
      <c r="R75" s="1">
        <f t="shared" si="29"/>
        <v>0</v>
      </c>
      <c r="S75" s="1">
        <f t="shared" si="29"/>
        <v>0</v>
      </c>
      <c r="T75" s="1">
        <f t="shared" si="29"/>
        <v>0</v>
      </c>
    </row>
    <row r="76" spans="3:20" hidden="1">
      <c r="C76" s="1" t="s">
        <v>7</v>
      </c>
      <c r="D76" s="1">
        <f t="shared" si="24"/>
        <v>33.386485947777558</v>
      </c>
      <c r="E76" s="1">
        <f t="shared" si="25"/>
        <v>13.290811241777956</v>
      </c>
      <c r="F76" s="1">
        <f t="shared" si="26"/>
        <v>0</v>
      </c>
      <c r="G76" s="1">
        <f t="shared" si="27"/>
        <v>0</v>
      </c>
      <c r="H76" s="17">
        <f t="shared" si="28"/>
        <v>46.677297189555517</v>
      </c>
      <c r="J76" s="1">
        <f t="shared" si="30"/>
        <v>100000</v>
      </c>
      <c r="K76" s="1">
        <f t="shared" si="29"/>
        <v>500</v>
      </c>
      <c r="L76" s="1">
        <f t="shared" si="29"/>
        <v>0</v>
      </c>
      <c r="M76" s="1">
        <f t="shared" si="29"/>
        <v>0</v>
      </c>
      <c r="N76" s="1">
        <f t="shared" si="29"/>
        <v>125000</v>
      </c>
      <c r="O76" s="1">
        <f t="shared" si="29"/>
        <v>0</v>
      </c>
      <c r="P76" s="1">
        <f t="shared" si="29"/>
        <v>0</v>
      </c>
      <c r="Q76" s="1">
        <f t="shared" si="29"/>
        <v>0</v>
      </c>
      <c r="R76" s="1">
        <f t="shared" si="29"/>
        <v>0</v>
      </c>
      <c r="S76" s="1">
        <f t="shared" si="29"/>
        <v>0</v>
      </c>
      <c r="T76" s="1">
        <f t="shared" si="29"/>
        <v>0</v>
      </c>
    </row>
    <row r="77" spans="3:20" hidden="1">
      <c r="C77" s="1" t="s">
        <v>8</v>
      </c>
      <c r="D77" s="1">
        <f t="shared" si="24"/>
        <v>133.54594379111023</v>
      </c>
      <c r="E77" s="1">
        <f t="shared" si="25"/>
        <v>33.227028104444891</v>
      </c>
      <c r="F77" s="1">
        <f t="shared" si="26"/>
        <v>0</v>
      </c>
      <c r="G77" s="1">
        <f t="shared" si="27"/>
        <v>0</v>
      </c>
      <c r="H77" s="17">
        <f t="shared" si="28"/>
        <v>166.77297189555512</v>
      </c>
      <c r="J77" s="1">
        <f t="shared" si="30"/>
        <v>100000</v>
      </c>
      <c r="K77" s="1">
        <f t="shared" si="29"/>
        <v>500</v>
      </c>
      <c r="L77" s="1">
        <f t="shared" si="29"/>
        <v>0</v>
      </c>
      <c r="M77" s="1">
        <f t="shared" si="29"/>
        <v>0</v>
      </c>
      <c r="N77" s="1">
        <f t="shared" si="29"/>
        <v>275000</v>
      </c>
      <c r="O77" s="1">
        <f t="shared" si="29"/>
        <v>0</v>
      </c>
      <c r="P77" s="1">
        <f t="shared" si="29"/>
        <v>0</v>
      </c>
      <c r="Q77" s="1">
        <f t="shared" si="29"/>
        <v>0</v>
      </c>
      <c r="R77" s="1">
        <f t="shared" si="29"/>
        <v>0</v>
      </c>
      <c r="S77" s="1">
        <f t="shared" si="29"/>
        <v>0</v>
      </c>
      <c r="T77" s="1">
        <f t="shared" si="29"/>
        <v>0</v>
      </c>
    </row>
    <row r="78" spans="3:20" hidden="1">
      <c r="C78" s="1" t="s">
        <v>10</v>
      </c>
      <c r="D78" s="1">
        <f t="shared" si="24"/>
        <v>34.721945385688656</v>
      </c>
      <c r="E78" s="1">
        <f t="shared" si="25"/>
        <v>19.271676300578033</v>
      </c>
      <c r="F78" s="1">
        <f t="shared" si="26"/>
        <v>0</v>
      </c>
      <c r="G78" s="1">
        <f t="shared" si="27"/>
        <v>0</v>
      </c>
      <c r="H78" s="17">
        <f t="shared" si="28"/>
        <v>53.993621686266692</v>
      </c>
    </row>
    <row r="79" spans="3:20" hidden="1">
      <c r="C79" s="1" t="s">
        <v>11</v>
      </c>
      <c r="D79" s="1">
        <f t="shared" si="24"/>
        <v>138.88778154275462</v>
      </c>
      <c r="E79" s="1">
        <f t="shared" si="25"/>
        <v>48.179190751445084</v>
      </c>
      <c r="F79" s="1">
        <f t="shared" si="26"/>
        <v>0</v>
      </c>
      <c r="G79" s="1">
        <f t="shared" si="27"/>
        <v>0</v>
      </c>
      <c r="H79" s="17">
        <f t="shared" si="28"/>
        <v>187.0669722941997</v>
      </c>
    </row>
    <row r="80" spans="3:20" hidden="1">
      <c r="C80" s="1" t="s">
        <v>13</v>
      </c>
      <c r="D80" s="1">
        <f t="shared" si="24"/>
        <v>36.057404823599761</v>
      </c>
      <c r="E80" s="1">
        <f t="shared" si="25"/>
        <v>9.3035678692445689</v>
      </c>
      <c r="F80" s="1">
        <f t="shared" si="26"/>
        <v>0</v>
      </c>
      <c r="G80" s="1">
        <f t="shared" si="27"/>
        <v>0</v>
      </c>
      <c r="H80" s="17">
        <f t="shared" si="28"/>
        <v>45.360972692844328</v>
      </c>
    </row>
    <row r="81" spans="2:14" hidden="1">
      <c r="C81" s="1" t="s">
        <v>14</v>
      </c>
      <c r="D81" s="1">
        <f t="shared" si="24"/>
        <v>144.22961929439904</v>
      </c>
      <c r="E81" s="1">
        <f t="shared" si="25"/>
        <v>23.258919673111421</v>
      </c>
      <c r="F81" s="1">
        <f t="shared" si="26"/>
        <v>0</v>
      </c>
      <c r="G81" s="1">
        <f t="shared" si="27"/>
        <v>0</v>
      </c>
      <c r="H81" s="17">
        <f t="shared" si="28"/>
        <v>167.48853896751046</v>
      </c>
    </row>
    <row r="82" spans="2:14" hidden="1">
      <c r="C82" s="1" t="s">
        <v>15</v>
      </c>
      <c r="D82" s="1">
        <f t="shared" si="24"/>
        <v>20.031891568666534</v>
      </c>
      <c r="E82" s="1">
        <f t="shared" si="25"/>
        <v>3.3227028104444889</v>
      </c>
      <c r="F82" s="1">
        <f t="shared" si="26"/>
        <v>0</v>
      </c>
      <c r="G82" s="1">
        <f t="shared" si="27"/>
        <v>0</v>
      </c>
      <c r="H82" s="17">
        <f t="shared" si="28"/>
        <v>23.354594379111024</v>
      </c>
    </row>
    <row r="83" spans="2:14" hidden="1">
      <c r="C83" s="8"/>
      <c r="D83" s="8"/>
      <c r="E83" s="8"/>
      <c r="F83" s="8"/>
      <c r="G83" s="8"/>
      <c r="H83" s="30"/>
    </row>
    <row r="84" spans="2:14" hidden="1"/>
    <row r="85" spans="2:14" hidden="1">
      <c r="C85" s="31" t="s">
        <v>60</v>
      </c>
      <c r="D85" s="1" t="s">
        <v>1</v>
      </c>
      <c r="E85" s="1" t="s">
        <v>6</v>
      </c>
      <c r="F85" s="1" t="s">
        <v>9</v>
      </c>
      <c r="G85" s="1" t="s">
        <v>12</v>
      </c>
      <c r="H85" s="15" t="s">
        <v>47</v>
      </c>
      <c r="I85" s="29" t="s">
        <v>60</v>
      </c>
      <c r="J85" s="1" t="s">
        <v>1</v>
      </c>
      <c r="K85" s="1" t="s">
        <v>6</v>
      </c>
      <c r="L85" s="1" t="s">
        <v>9</v>
      </c>
      <c r="M85" s="1" t="s">
        <v>12</v>
      </c>
      <c r="N85" s="15" t="s">
        <v>47</v>
      </c>
    </row>
    <row r="86" spans="2:14" hidden="1">
      <c r="C86" s="1" t="s">
        <v>61</v>
      </c>
      <c r="D86" s="1">
        <f>O52</f>
        <v>285020</v>
      </c>
      <c r="E86" s="1">
        <f t="shared" ref="E86:G86" si="31">P52</f>
        <v>207440</v>
      </c>
      <c r="F86" s="1">
        <f t="shared" si="31"/>
        <v>150200</v>
      </c>
      <c r="G86" s="1">
        <f t="shared" si="31"/>
        <v>136520</v>
      </c>
      <c r="H86" s="1">
        <f>SUM(D86:G86)</f>
        <v>779180</v>
      </c>
      <c r="I86" s="1" t="s">
        <v>62</v>
      </c>
      <c r="J86" s="1">
        <f>SUM(J74:T74)</f>
        <v>400500</v>
      </c>
      <c r="K86" s="1">
        <f>SUM(J75:T75)</f>
        <v>300500</v>
      </c>
      <c r="L86" s="1">
        <f>SUM(J76:T76)</f>
        <v>225500</v>
      </c>
      <c r="M86" s="1">
        <f>SUM(J77:T77)</f>
        <v>375500</v>
      </c>
      <c r="N86" s="1">
        <f>SUM(J86:M86)</f>
        <v>1302000</v>
      </c>
    </row>
    <row r="87" spans="2:14" hidden="1">
      <c r="C87" s="1"/>
      <c r="D87" s="1"/>
      <c r="E87" s="1">
        <f>E86/$H$86</f>
        <v>0.26622859929669651</v>
      </c>
      <c r="F87" s="1">
        <f t="shared" ref="F87:G87" si="32">F86/$H$86</f>
        <v>0.19276675479350086</v>
      </c>
      <c r="G87" s="1">
        <f t="shared" si="32"/>
        <v>0.17520983598141637</v>
      </c>
      <c r="H87" s="1"/>
      <c r="I87" s="1"/>
      <c r="J87" s="1"/>
      <c r="K87" s="1">
        <f>K86/$N$86</f>
        <v>0.23079877112135178</v>
      </c>
      <c r="L87" s="1">
        <f t="shared" ref="L87:M87" si="33">L86/$N$86</f>
        <v>0.17319508448540707</v>
      </c>
      <c r="M87" s="1">
        <f t="shared" si="33"/>
        <v>0.28840245775729645</v>
      </c>
      <c r="N87" s="1"/>
    </row>
    <row r="88" spans="2:14" hidden="1">
      <c r="B88" t="s">
        <v>73</v>
      </c>
    </row>
    <row r="89" spans="2:14" hidden="1">
      <c r="B89" s="1" t="s">
        <v>0</v>
      </c>
      <c r="C89" s="36" t="s">
        <v>1</v>
      </c>
      <c r="D89" s="36"/>
      <c r="E89" s="36"/>
      <c r="F89" s="36"/>
      <c r="G89" s="36" t="s">
        <v>6</v>
      </c>
      <c r="H89" s="36"/>
      <c r="I89" s="36" t="s">
        <v>9</v>
      </c>
      <c r="J89" s="36"/>
      <c r="K89" s="36" t="s">
        <v>12</v>
      </c>
      <c r="L89" s="36"/>
      <c r="M89" s="36"/>
    </row>
    <row r="90" spans="2:14" hidden="1">
      <c r="B90" s="1" t="s">
        <v>16</v>
      </c>
      <c r="C90" s="1" t="s">
        <v>2</v>
      </c>
      <c r="D90" s="1" t="s">
        <v>3</v>
      </c>
      <c r="E90" s="1" t="s">
        <v>4</v>
      </c>
      <c r="F90" s="1" t="s">
        <v>5</v>
      </c>
      <c r="G90" s="1" t="s">
        <v>7</v>
      </c>
      <c r="H90" s="1" t="s">
        <v>8</v>
      </c>
      <c r="I90" s="1" t="s">
        <v>10</v>
      </c>
      <c r="J90" s="1" t="s">
        <v>11</v>
      </c>
      <c r="K90" s="1" t="s">
        <v>13</v>
      </c>
      <c r="L90" s="1" t="s">
        <v>14</v>
      </c>
      <c r="M90" s="1" t="s">
        <v>15</v>
      </c>
    </row>
    <row r="91" spans="2:14" hidden="1">
      <c r="B91" s="1" t="s">
        <v>64</v>
      </c>
      <c r="C91" s="23">
        <f>IF(SUM($C$6:$F$6)=0,0,$J$86/$N$86*C6/SUM($C$6:$F$6))</f>
        <v>0.30607332003576587</v>
      </c>
      <c r="D91" s="23">
        <f>IF(SUM($C$6:$F$6)=0,0,$J$86/$N$86*D6/SUM($C$6:$F$6))</f>
        <v>1.5303666001788292E-3</v>
      </c>
      <c r="E91" s="23">
        <f>IF(SUM($C$6:$F$6)=0,0,$J$86/$N$86*E6/SUM($C$6:$F$6))</f>
        <v>0</v>
      </c>
      <c r="F91" s="23">
        <f>IF(SUM($C$6:$F$6)=0,0,$J$86/$N$86*F6/SUM($C$6:$F$6))</f>
        <v>0</v>
      </c>
      <c r="G91" s="23">
        <f>IF(G6&lt;&gt;0,$K$86/$N$86*G6/($G$6+$H$6),0)</f>
        <v>0.23079877112135178</v>
      </c>
      <c r="H91" s="23">
        <f>IF(H6&lt;&gt;0,$K$86/$N$86*H6/($G$6+$H$6),0)</f>
        <v>0</v>
      </c>
      <c r="I91" s="23">
        <f>IF(I6&lt;&gt;0,$L$86/$N$86*I6/($I$6+$J$6),0)</f>
        <v>0</v>
      </c>
      <c r="J91" s="23">
        <f>IF(J6&lt;&gt;0,$L$86/$N$86*J6/($I$6+$J$6),0)</f>
        <v>0</v>
      </c>
      <c r="K91" s="23">
        <f>IF(K6&lt;&gt;0,$M$86/$N$86*K6/($K$6+$L$6+$M$6),0)</f>
        <v>0</v>
      </c>
      <c r="L91" s="23">
        <f>IF(L6&lt;&gt;0,$M$86/$N$86*L6/($K$6+$L$6+$M$6),0)</f>
        <v>0</v>
      </c>
      <c r="M91" s="23">
        <f>IF(M6&lt;&gt;0,$K$86/$N$86*M6/($K$6+$L$6+$M$6),0)</f>
        <v>0</v>
      </c>
      <c r="N91" s="24">
        <f>SUM(C91:M91)</f>
        <v>0.53840245775729656</v>
      </c>
    </row>
    <row r="92" spans="2:14" hidden="1">
      <c r="B92" s="15" t="s">
        <v>18</v>
      </c>
      <c r="C92" s="1">
        <f>IF(C6=0,0,ROUND(C91*$J$63/$N$91,0))</f>
        <v>5436</v>
      </c>
      <c r="D92" s="1">
        <f t="shared" ref="D92:F92" si="34">IF(D6=0,0,ROUND(D91*$J$63/$N$91,0))</f>
        <v>27</v>
      </c>
      <c r="E92" s="1">
        <f t="shared" si="34"/>
        <v>0</v>
      </c>
      <c r="F92" s="1">
        <f t="shared" si="34"/>
        <v>0</v>
      </c>
      <c r="G92" s="1">
        <f t="shared" ref="G92:M92" si="35">IF(SUM($C$6:$F$6)=0,$J$63*G91/SUM($G$91:$M$91),$J$63*G91/$N$91)</f>
        <v>4099.4029957203993</v>
      </c>
      <c r="H92" s="1">
        <f t="shared" si="35"/>
        <v>0</v>
      </c>
      <c r="I92" s="1">
        <f t="shared" si="35"/>
        <v>0</v>
      </c>
      <c r="J92" s="1">
        <f t="shared" si="35"/>
        <v>0</v>
      </c>
      <c r="K92" s="1">
        <f t="shared" si="35"/>
        <v>0</v>
      </c>
      <c r="L92" s="1">
        <f t="shared" si="35"/>
        <v>0</v>
      </c>
      <c r="M92" s="1">
        <f t="shared" si="35"/>
        <v>0</v>
      </c>
    </row>
    <row r="93" spans="2:14" hidden="1">
      <c r="B93" s="15" t="s">
        <v>76</v>
      </c>
      <c r="C93" s="15">
        <f>IF(C92&gt;C6,C6,C92)</f>
        <v>5436</v>
      </c>
      <c r="D93" s="15">
        <f>IF(D92&gt;D6,D6,D92)</f>
        <v>27</v>
      </c>
      <c r="E93" s="15">
        <f>IF(E92&gt;E6,E6,E92)</f>
        <v>0</v>
      </c>
      <c r="F93" s="15">
        <f>IF(F92&gt;F6,F6,F92)</f>
        <v>0</v>
      </c>
      <c r="G93" s="1"/>
      <c r="H93" s="1"/>
      <c r="I93" s="1"/>
      <c r="J93" s="1"/>
      <c r="K93" s="1"/>
      <c r="L93" s="1"/>
      <c r="M93" s="1"/>
    </row>
    <row r="94" spans="2:14" hidden="1">
      <c r="B94" s="1"/>
      <c r="C94" s="22">
        <f>IF(SUM(C93:F93)=SUM(C6:F6),J63-SUM(C6:F6),J63-SUM(C93:F93))</f>
        <v>4100</v>
      </c>
      <c r="D94" s="1"/>
      <c r="E94" s="1"/>
      <c r="F94" s="1" t="s">
        <v>68</v>
      </c>
      <c r="G94" s="1">
        <f t="shared" ref="G94:M94" si="36">IF(G6=0,0,IF($C$94=$J$63,G92,$C$94*G91/SUM($G$91:$M$91)))</f>
        <v>4100</v>
      </c>
      <c r="H94" s="1">
        <f t="shared" si="36"/>
        <v>0</v>
      </c>
      <c r="I94" s="1">
        <f t="shared" si="36"/>
        <v>0</v>
      </c>
      <c r="J94" s="1">
        <f t="shared" si="36"/>
        <v>0</v>
      </c>
      <c r="K94" s="1">
        <f t="shared" si="36"/>
        <v>0</v>
      </c>
      <c r="L94" s="1">
        <f t="shared" si="36"/>
        <v>0</v>
      </c>
      <c r="M94" s="1">
        <f t="shared" si="36"/>
        <v>0</v>
      </c>
    </row>
    <row r="95" spans="2:14" hidden="1">
      <c r="B95" s="1"/>
      <c r="C95" s="1"/>
      <c r="D95" s="1"/>
      <c r="E95" s="1"/>
      <c r="F95" s="1" t="s">
        <v>69</v>
      </c>
      <c r="G95" s="1">
        <f t="shared" ref="G95:M95" si="37">IF(G94&gt;G6,G6,ROUND(G94,0))</f>
        <v>4100</v>
      </c>
      <c r="H95" s="1">
        <f t="shared" si="37"/>
        <v>0</v>
      </c>
      <c r="I95" s="1">
        <f t="shared" si="37"/>
        <v>0</v>
      </c>
      <c r="J95" s="1">
        <f t="shared" si="37"/>
        <v>0</v>
      </c>
      <c r="K95" s="1">
        <f t="shared" si="37"/>
        <v>0</v>
      </c>
      <c r="L95" s="1">
        <f t="shared" si="37"/>
        <v>0</v>
      </c>
      <c r="M95" s="1">
        <f t="shared" si="37"/>
        <v>0</v>
      </c>
    </row>
    <row r="96" spans="2:14" hidden="1">
      <c r="B96" s="1"/>
      <c r="C96" s="1"/>
      <c r="D96" s="1"/>
      <c r="E96" s="1"/>
      <c r="F96" s="1" t="s">
        <v>65</v>
      </c>
      <c r="G96" s="16">
        <f t="shared" ref="G96:M96" si="38">IF(AND(G6=G95,G6&lt;&gt;0),1,0)</f>
        <v>0</v>
      </c>
      <c r="H96" s="16">
        <f t="shared" si="38"/>
        <v>0</v>
      </c>
      <c r="I96" s="16">
        <f t="shared" si="38"/>
        <v>0</v>
      </c>
      <c r="J96" s="16">
        <f t="shared" si="38"/>
        <v>0</v>
      </c>
      <c r="K96" s="16">
        <f t="shared" si="38"/>
        <v>0</v>
      </c>
      <c r="L96" s="16">
        <f t="shared" si="38"/>
        <v>0</v>
      </c>
      <c r="M96" s="16">
        <f t="shared" si="38"/>
        <v>0</v>
      </c>
    </row>
    <row r="97" spans="2:14" hidden="1">
      <c r="B97" s="1"/>
      <c r="C97" s="1"/>
      <c r="D97" s="15"/>
      <c r="E97" s="15"/>
      <c r="F97" s="15"/>
      <c r="G97" s="15">
        <f>IF(OR(G6=0,G96=1),2,K87)</f>
        <v>0.23079877112135178</v>
      </c>
      <c r="H97" s="15">
        <f>IF(OR(H6=0,H96=1),2,K87)</f>
        <v>2</v>
      </c>
      <c r="I97" s="15">
        <f>IF(OR(I6=0,I96=1),2,L87)</f>
        <v>2</v>
      </c>
      <c r="J97" s="15">
        <f>IF(OR(J6=0,J96=1),2,L87)</f>
        <v>2</v>
      </c>
      <c r="K97" s="15">
        <f>IF(OR(K6=0,K96=1),2,M87)</f>
        <v>2</v>
      </c>
      <c r="L97" s="15">
        <f>IF(OR(L6=0,L96=1),2,M87)</f>
        <v>2</v>
      </c>
      <c r="M97" s="15">
        <f>IF(OR(M6=0,M96=1),2,M87)</f>
        <v>2</v>
      </c>
      <c r="N97" s="25"/>
    </row>
    <row r="98" spans="2:14" hidden="1">
      <c r="B98" s="1"/>
      <c r="C98" s="1"/>
      <c r="D98" s="15"/>
      <c r="E98" s="15"/>
      <c r="F98" s="15"/>
      <c r="G98" s="48">
        <f>MIN(G97:H97)</f>
        <v>0.23079877112135178</v>
      </c>
      <c r="H98" s="49"/>
      <c r="I98" s="48">
        <f>MIN(I97:J97)</f>
        <v>2</v>
      </c>
      <c r="J98" s="49"/>
      <c r="K98" s="48">
        <f>MIN(K97:M97)</f>
        <v>2</v>
      </c>
      <c r="L98" s="50"/>
      <c r="M98" s="49"/>
      <c r="N98" s="25"/>
    </row>
    <row r="99" spans="2:14" hidden="1">
      <c r="B99" s="1"/>
      <c r="C99" s="1"/>
      <c r="D99" s="15"/>
      <c r="E99" s="15"/>
      <c r="F99" s="26" t="s">
        <v>70</v>
      </c>
      <c r="G99" s="15">
        <f>IF(G96=1,G94-G95,0)</f>
        <v>0</v>
      </c>
      <c r="H99" s="15">
        <f t="shared" ref="H99:M99" si="39">IF(H96=1,H94-H95,0)</f>
        <v>0</v>
      </c>
      <c r="I99" s="15">
        <f t="shared" si="39"/>
        <v>0</v>
      </c>
      <c r="J99" s="15">
        <f t="shared" si="39"/>
        <v>0</v>
      </c>
      <c r="K99" s="15">
        <f t="shared" si="39"/>
        <v>0</v>
      </c>
      <c r="L99" s="15">
        <f t="shared" si="39"/>
        <v>0</v>
      </c>
      <c r="M99" s="15">
        <f t="shared" si="39"/>
        <v>0</v>
      </c>
      <c r="N99" s="25"/>
    </row>
    <row r="100" spans="2:14" hidden="1">
      <c r="B100" s="1"/>
      <c r="C100" s="1"/>
      <c r="D100" s="15"/>
      <c r="E100" s="15"/>
      <c r="F100" s="15" t="s">
        <v>67</v>
      </c>
      <c r="G100" s="15">
        <f>IF(AND(G$96&lt;&gt;1,$G$97&lt;$I$98,$G$97&lt;$K$98),ROUND(SUM($I$99:$M$99)*G91/($G$91+$H$91)+G94,0),G95)</f>
        <v>4100</v>
      </c>
      <c r="H100" s="15">
        <f>IF(AND(H$96&lt;&gt;1,$H$97&lt;$I$98,$H$97&lt;$K$98),ROUND(SUM($I$99:$M$99)*H91/($G$91+$H$91)+H94,0),H95)</f>
        <v>0</v>
      </c>
      <c r="I100" s="15">
        <f>IF(AND(I$96&lt;&gt;1,$I$97&lt;$G$98,$I$97&lt;$K$98),ROUND((SUM($G$99:$H$99)+SUM($K$99:$M$99))*I91/($I$91+$J$91)+I94,0),I95)</f>
        <v>0</v>
      </c>
      <c r="J100" s="15">
        <f>IF(AND(J$96&lt;&gt;1,$J$97&lt;$G$98,$J$97&lt;$K$98),ROUND((SUM($G$99:$H$99)+SUM($K$99:$M$99))*J91/($I$91+$J$91)+J94,0),J95)</f>
        <v>0</v>
      </c>
      <c r="K100" s="15">
        <f>IF(AND(K$96&lt;&gt;1,$K$97&lt;$I$98,$K$97&lt;$G$98),ROUND(SUM($G$99:$J$99)*K91/SUM($K$91:$M$91)+K94,0),K95)</f>
        <v>0</v>
      </c>
      <c r="L100" s="15">
        <f>IF(AND($L$96&lt;&gt;1,$L$97&lt;$I$98,$L$97&lt;$G$98),ROUND(SUM($G$99:$J$99)*L91/SUM($K$91:$M$91)+L94,0),L95)</f>
        <v>0</v>
      </c>
      <c r="M100" s="15">
        <f>IF(AND($M$96&lt;&gt;1,$M$97&lt;$I$98,$M$97&lt;$G$98),ROUND(SUM($G$99:$J$99)*M91/SUM($K$91:$M$91)+M94,0),M95)</f>
        <v>0</v>
      </c>
      <c r="N100" s="25"/>
    </row>
    <row r="101" spans="2:14" hidden="1">
      <c r="B101" s="1"/>
      <c r="C101" s="1"/>
      <c r="D101" s="15"/>
      <c r="E101" s="15"/>
      <c r="F101" s="15" t="s">
        <v>66</v>
      </c>
      <c r="G101" s="15">
        <f t="shared" ref="G101:M101" si="40">IF(AND(G6&lt;&gt;0,G6&lt;=G100),1,0)</f>
        <v>0</v>
      </c>
      <c r="H101" s="15">
        <f t="shared" si="40"/>
        <v>0</v>
      </c>
      <c r="I101" s="15">
        <f t="shared" si="40"/>
        <v>0</v>
      </c>
      <c r="J101" s="15">
        <f t="shared" si="40"/>
        <v>0</v>
      </c>
      <c r="K101" s="15">
        <f t="shared" si="40"/>
        <v>0</v>
      </c>
      <c r="L101" s="15">
        <f t="shared" si="40"/>
        <v>0</v>
      </c>
      <c r="M101" s="15">
        <f t="shared" si="40"/>
        <v>0</v>
      </c>
      <c r="N101" s="25" t="s">
        <v>72</v>
      </c>
    </row>
    <row r="102" spans="2:14" hidden="1">
      <c r="B102" s="1"/>
      <c r="C102" s="1"/>
      <c r="D102" s="15"/>
      <c r="E102" s="15" t="s">
        <v>71</v>
      </c>
      <c r="F102" s="15">
        <f>SUM(G102:M102)</f>
        <v>4100</v>
      </c>
      <c r="G102" s="15">
        <f t="shared" ref="G102:M102" si="41">IF(G101=1,G6,G100)</f>
        <v>4100</v>
      </c>
      <c r="H102" s="15">
        <f t="shared" si="41"/>
        <v>0</v>
      </c>
      <c r="I102" s="15">
        <f t="shared" si="41"/>
        <v>0</v>
      </c>
      <c r="J102" s="15">
        <f t="shared" si="41"/>
        <v>0</v>
      </c>
      <c r="K102" s="15">
        <f t="shared" si="41"/>
        <v>0</v>
      </c>
      <c r="L102" s="15">
        <f t="shared" si="41"/>
        <v>0</v>
      </c>
      <c r="M102" s="15">
        <f t="shared" si="41"/>
        <v>0</v>
      </c>
      <c r="N102" s="25"/>
    </row>
    <row r="103" spans="2:14" hidden="1">
      <c r="B103" s="1"/>
      <c r="C103" s="1">
        <f>SUM(C91:F91)</f>
        <v>0.30760368663594473</v>
      </c>
      <c r="D103" s="15"/>
      <c r="E103" s="15" t="s">
        <v>74</v>
      </c>
      <c r="F103" s="15">
        <f>IF(ABS(C94-F102)&gt;=3,1,0)</f>
        <v>0</v>
      </c>
      <c r="G103" s="15">
        <f>IF(OR(G101=1,$F$103=0,G102=0),G102,ROUND(G102+($C$94-$F$102)*G91/($G$91+$H$91),0))</f>
        <v>4100</v>
      </c>
      <c r="H103" s="15">
        <f>IF(OR(H101=1,$F$103=0,H102=0),H102,ROUND(H102+($C$94-$F$102)*H91/($G$91+$H$91),0))</f>
        <v>0</v>
      </c>
      <c r="I103" s="15">
        <f>IF(OR(I101=1,$F$103=0,I102=0),I102,ROUND(I102+($C$94-$F$102)*I91/($I$91+$J$91),0))</f>
        <v>0</v>
      </c>
      <c r="J103" s="15">
        <f>IF(OR(J101=1,$F$103=0,J102=0),J102,ROUND(J102+($C$94-$F$102)*J91/($I$91+$J$91),0))</f>
        <v>0</v>
      </c>
      <c r="K103" s="15">
        <f>IF(OR(K101=1,$F$103=0,K102=0),K102,ROUND(K102+($C$94-$F$102)*K91/SUM($K$91:$M$91),0))</f>
        <v>0</v>
      </c>
      <c r="L103" s="15">
        <f>IF(OR(L101=1,$F$103=0,L102=0),L102,ROUND(L102+($C$94-$F$102)*L91/SUM($K$91:$M$91),0))</f>
        <v>0</v>
      </c>
      <c r="M103" s="15">
        <f>IF(OR(M101=1,$F$103=0,M102=0),M102,ROUND(M102+($C$94-$F$102)*M91/SUM($K$91:$M$91),0))</f>
        <v>0</v>
      </c>
      <c r="N103" s="25"/>
    </row>
    <row r="104" spans="2:14" hidden="1">
      <c r="B104" s="1"/>
      <c r="C104" s="1">
        <f>IF(C94-SUM(G104:M104)&gt;=3,C94-SUM(G104:M104),0)</f>
        <v>0</v>
      </c>
      <c r="D104" s="15">
        <f>IF(C104&lt;&gt;0,1,0)</f>
        <v>0</v>
      </c>
      <c r="E104" s="15"/>
      <c r="F104" s="20" t="s">
        <v>75</v>
      </c>
      <c r="G104" s="20">
        <f>IF(G103&gt;=G6,G6,G103)</f>
        <v>4100</v>
      </c>
      <c r="H104" s="20">
        <f t="shared" ref="H104:M104" si="42">IF(H103&gt;=H6,H6,H103)</f>
        <v>0</v>
      </c>
      <c r="I104" s="20">
        <f t="shared" si="42"/>
        <v>0</v>
      </c>
      <c r="J104" s="20">
        <f t="shared" si="42"/>
        <v>0</v>
      </c>
      <c r="K104" s="20">
        <f t="shared" si="42"/>
        <v>0</v>
      </c>
      <c r="L104" s="20">
        <f t="shared" si="42"/>
        <v>0</v>
      </c>
      <c r="M104" s="20">
        <f t="shared" si="42"/>
        <v>0</v>
      </c>
      <c r="N104" s="25"/>
    </row>
    <row r="105" spans="2:14" hidden="1">
      <c r="B105" s="1" t="s">
        <v>77</v>
      </c>
      <c r="C105" s="32">
        <f>IF($D$104=1,ROUND(C93+$C$104*C91/$C$103,0),C93)</f>
        <v>5436</v>
      </c>
      <c r="D105" s="32">
        <f t="shared" ref="D105:F105" si="43">IF($D$104=1,ROUND(D93+$C$104*D91/$C$103,0),D93)</f>
        <v>27</v>
      </c>
      <c r="E105" s="32">
        <f t="shared" si="43"/>
        <v>0</v>
      </c>
      <c r="F105" s="32">
        <f t="shared" si="43"/>
        <v>0</v>
      </c>
      <c r="G105" s="15"/>
      <c r="H105" s="15"/>
      <c r="I105" s="15"/>
      <c r="J105" s="15"/>
      <c r="K105" s="15"/>
      <c r="L105" s="15"/>
      <c r="M105" s="15"/>
      <c r="N105" s="25"/>
    </row>
    <row r="106" spans="2:14" hidden="1">
      <c r="B106" s="8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25"/>
    </row>
    <row r="107" spans="2:14" hidden="1">
      <c r="B107" s="8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25"/>
    </row>
    <row r="108" spans="2:14" hidden="1"/>
    <row r="109" spans="2:14" hidden="1">
      <c r="B109" s="1" t="s">
        <v>43</v>
      </c>
      <c r="C109" s="36" t="s">
        <v>1</v>
      </c>
      <c r="D109" s="36"/>
      <c r="E109" s="36"/>
      <c r="F109" s="36"/>
      <c r="G109" s="36" t="s">
        <v>6</v>
      </c>
      <c r="H109" s="36"/>
      <c r="I109" s="36" t="s">
        <v>9</v>
      </c>
      <c r="J109" s="36"/>
      <c r="K109" s="36" t="s">
        <v>12</v>
      </c>
      <c r="L109" s="36"/>
      <c r="M109" s="36"/>
    </row>
    <row r="110" spans="2:14" hidden="1">
      <c r="B110" s="1" t="s">
        <v>16</v>
      </c>
      <c r="C110" s="1" t="s">
        <v>2</v>
      </c>
      <c r="D110" s="1" t="s">
        <v>3</v>
      </c>
      <c r="E110" s="1" t="s">
        <v>4</v>
      </c>
      <c r="F110" s="1" t="s">
        <v>5</v>
      </c>
      <c r="G110" s="1" t="s">
        <v>7</v>
      </c>
      <c r="H110" s="1" t="s">
        <v>8</v>
      </c>
      <c r="I110" s="1" t="s">
        <v>10</v>
      </c>
      <c r="J110" s="1" t="s">
        <v>11</v>
      </c>
      <c r="K110" s="1" t="s">
        <v>13</v>
      </c>
      <c r="L110" s="1" t="s">
        <v>14</v>
      </c>
      <c r="M110" s="1" t="s">
        <v>15</v>
      </c>
    </row>
    <row r="111" spans="2:14" hidden="1">
      <c r="B111" s="1" t="s">
        <v>78</v>
      </c>
      <c r="C111" s="1">
        <f>IF(SUM($C$13:$F$13)=0,0,$D$86/$H$86*C13/SUM($C$13:$F$13))</f>
        <v>0.36579480992838626</v>
      </c>
      <c r="D111" s="1">
        <f t="shared" ref="D111:F111" si="44">IF(SUM($C$13:$F$13)=0,0,$D$86/$H$86*D13/SUM($C$13:$F$13))</f>
        <v>0</v>
      </c>
      <c r="E111" s="1">
        <f t="shared" si="44"/>
        <v>0</v>
      </c>
      <c r="F111" s="1">
        <f t="shared" si="44"/>
        <v>0</v>
      </c>
      <c r="G111" s="1">
        <f>IF(G13&lt;&gt;0,$E$86/$H$86*G13/($G$13+$H$13),0)</f>
        <v>0.26622859929669651</v>
      </c>
      <c r="H111" s="1">
        <f t="shared" ref="H111" si="45">IF(H13&lt;&gt;0,$E$86/$H$86*H13/($G$13+$H$13),0)</f>
        <v>0</v>
      </c>
      <c r="I111" s="1">
        <f>IF(I13&lt;&gt;0,$F$86/$H$86*I13/($I$13+$J$13),0)</f>
        <v>3.2127792465583477E-2</v>
      </c>
      <c r="J111" s="1">
        <f>IF(J13&lt;&gt;0,$F$86/$H$86*J13/($I$13+$J$13),0)</f>
        <v>0.16063896232791738</v>
      </c>
      <c r="K111" s="1">
        <f>IF(K13&lt;&gt;0,$G$86/$H$86*K13/SUM($K$13:$M$13),0)</f>
        <v>0.17520983598141637</v>
      </c>
      <c r="L111" s="1">
        <f t="shared" ref="L111:M111" si="46">IF(L13&lt;&gt;0,$G$86/$H$86*L13/SUM($K$13:$M$13),0)</f>
        <v>0</v>
      </c>
      <c r="M111" s="1">
        <f t="shared" si="46"/>
        <v>0</v>
      </c>
      <c r="N111">
        <f>SUM(C111:M111)</f>
        <v>1</v>
      </c>
    </row>
    <row r="112" spans="2:14" hidden="1">
      <c r="B112" s="1" t="s">
        <v>79</v>
      </c>
      <c r="C112" s="1">
        <f>IF(C13=0,0,ROUND(C111*$K$63/$N$111,0))</f>
        <v>1182</v>
      </c>
      <c r="D112" s="1">
        <f t="shared" ref="D112:F112" si="47">IF(D13=0,0,ROUND(D111*$K$63/$N$111,0))</f>
        <v>0</v>
      </c>
      <c r="E112" s="1">
        <f t="shared" si="47"/>
        <v>0</v>
      </c>
      <c r="F112" s="1">
        <f t="shared" si="47"/>
        <v>0</v>
      </c>
      <c r="G112" s="1">
        <f>IF(SUM($C$13:$F$13)=0,$K$63*G111/SUM($G$111:$M$111),$K$63*G111/$N$111)</f>
        <v>859.91837572832969</v>
      </c>
      <c r="H112" s="1">
        <f>IF(SUM($C$13:$F$13)=0,$K$63*H111/SUM($G$111:$M$111),$K$63*H111/$N$111)</f>
        <v>0</v>
      </c>
      <c r="I112" s="1">
        <f>IF(SUM($C$13:$F$13)=0,$K$63*I111/SUM($G$111:$M$111),$K$63*I111/$N$111)</f>
        <v>103.77276966383462</v>
      </c>
      <c r="J112" s="1">
        <f t="shared" ref="J112:M112" si="48">IF(SUM($C$13:$F$13)=0,$K$63*J111/SUM($G$111:$M$111),$K$63*J111/$N$111)</f>
        <v>518.86384831917314</v>
      </c>
      <c r="K112" s="1">
        <f t="shared" si="48"/>
        <v>565.92777021997483</v>
      </c>
      <c r="L112" s="1">
        <f t="shared" si="48"/>
        <v>0</v>
      </c>
      <c r="M112" s="1">
        <f t="shared" si="48"/>
        <v>0</v>
      </c>
    </row>
    <row r="113" spans="2:13" hidden="1">
      <c r="B113" s="1" t="s">
        <v>80</v>
      </c>
      <c r="C113" s="1">
        <f>IF(C112&gt;C13,C13,C112)</f>
        <v>1000</v>
      </c>
      <c r="D113" s="1">
        <f t="shared" ref="D113:F113" si="49">IF(D112&gt;D13,D13,D112)</f>
        <v>0</v>
      </c>
      <c r="E113" s="1">
        <f t="shared" si="49"/>
        <v>0</v>
      </c>
      <c r="F113" s="1">
        <f t="shared" si="49"/>
        <v>0</v>
      </c>
      <c r="G113" s="1"/>
      <c r="H113" s="1"/>
      <c r="I113" s="1"/>
      <c r="J113" s="1"/>
      <c r="K113" s="1"/>
      <c r="L113" s="1"/>
      <c r="M113" s="1"/>
    </row>
    <row r="114" spans="2:13" hidden="1">
      <c r="B114" s="1"/>
      <c r="C114" s="1">
        <f>IF(SUM(C113:F113)=SUM(C13:F13),K63-SUM(C13:F13),K63-SUM(C113:F113))</f>
        <v>2230</v>
      </c>
      <c r="D114" s="1"/>
      <c r="E114" s="1"/>
      <c r="F114" s="1" t="s">
        <v>68</v>
      </c>
      <c r="G114" s="1">
        <f t="shared" ref="G114:M114" si="50">IF(G13=0,0,IF($C$114=$K$63,G112,$C$114*G111/SUM($G$111:$M$111)))</f>
        <v>936.11623765581976</v>
      </c>
      <c r="H114" s="1">
        <f t="shared" si="50"/>
        <v>0</v>
      </c>
      <c r="I114" s="1">
        <f t="shared" si="50"/>
        <v>112.96813447736226</v>
      </c>
      <c r="J114" s="1">
        <f t="shared" si="50"/>
        <v>564.84067238681121</v>
      </c>
      <c r="K114" s="1">
        <f t="shared" si="50"/>
        <v>616.07495548000645</v>
      </c>
      <c r="L114" s="1">
        <f t="shared" si="50"/>
        <v>0</v>
      </c>
      <c r="M114" s="1">
        <f t="shared" si="50"/>
        <v>0</v>
      </c>
    </row>
    <row r="115" spans="2:13" hidden="1">
      <c r="B115" s="1"/>
      <c r="C115" s="1"/>
      <c r="D115" s="1"/>
      <c r="E115" s="1"/>
      <c r="F115" s="1" t="s">
        <v>69</v>
      </c>
      <c r="G115" s="1">
        <f>IF(G114&gt;G13,G13,ROUND(G114,0))</f>
        <v>936</v>
      </c>
      <c r="H115" s="1">
        <f t="shared" ref="H115:M115" si="51">IF(H114&gt;H13,H13,ROUND(H114,0))</f>
        <v>0</v>
      </c>
      <c r="I115" s="1">
        <f t="shared" si="51"/>
        <v>113</v>
      </c>
      <c r="J115" s="1">
        <f t="shared" si="51"/>
        <v>565</v>
      </c>
      <c r="K115" s="1">
        <f t="shared" si="51"/>
        <v>30</v>
      </c>
      <c r="L115" s="1">
        <f t="shared" si="51"/>
        <v>0</v>
      </c>
      <c r="M115" s="1">
        <f t="shared" si="51"/>
        <v>0</v>
      </c>
    </row>
    <row r="116" spans="2:13" hidden="1">
      <c r="B116" s="1"/>
      <c r="C116" s="1"/>
      <c r="D116" s="1"/>
      <c r="E116" s="1"/>
      <c r="F116" s="1" t="s">
        <v>81</v>
      </c>
      <c r="G116" s="1">
        <f>IF(AND(G13=G115,G13&lt;&gt;0),1,0)</f>
        <v>0</v>
      </c>
      <c r="H116" s="1">
        <f t="shared" ref="H116:M116" si="52">IF(AND(H13=H115,H13&lt;&gt;0),1,0)</f>
        <v>0</v>
      </c>
      <c r="I116" s="1">
        <f t="shared" si="52"/>
        <v>0</v>
      </c>
      <c r="J116" s="1">
        <f t="shared" si="52"/>
        <v>0</v>
      </c>
      <c r="K116" s="1">
        <f t="shared" si="52"/>
        <v>1</v>
      </c>
      <c r="L116" s="1">
        <f t="shared" si="52"/>
        <v>0</v>
      </c>
      <c r="M116" s="1">
        <f t="shared" si="52"/>
        <v>0</v>
      </c>
    </row>
    <row r="117" spans="2:13" hidden="1">
      <c r="B117" s="1"/>
      <c r="C117" s="1"/>
      <c r="D117" s="1"/>
      <c r="E117" s="1"/>
      <c r="F117" s="1"/>
      <c r="G117" s="1">
        <f>IF(OR(G13=0,G116=1),2,E87)</f>
        <v>0.26622859929669651</v>
      </c>
      <c r="H117" s="1">
        <f>IF(OR(H13=0,H116=1),2,E87)</f>
        <v>2</v>
      </c>
      <c r="I117" s="1">
        <f>IF(OR(I13=0,I116=1),2,F87)</f>
        <v>0.19276675479350086</v>
      </c>
      <c r="J117" s="1">
        <f>IF(OR(J13=0,J116=1),2,F87)</f>
        <v>0.19276675479350086</v>
      </c>
      <c r="K117" s="1">
        <f>IF(OR(K13=0,K116=1),2,G87)</f>
        <v>2</v>
      </c>
      <c r="L117" s="1">
        <f>IF(OR(L13=0,L116=1),2,G87)</f>
        <v>2</v>
      </c>
      <c r="M117" s="1">
        <f>IF(OR(M13=0,M116=1),2,G87)</f>
        <v>2</v>
      </c>
    </row>
    <row r="118" spans="2:13" hidden="1">
      <c r="B118" s="1"/>
      <c r="C118" s="1"/>
      <c r="D118" s="1"/>
      <c r="E118" s="1"/>
      <c r="F118" s="1"/>
      <c r="G118" s="36">
        <f>MIN(G117:H117)</f>
        <v>0.26622859929669651</v>
      </c>
      <c r="H118" s="36"/>
      <c r="I118" s="36">
        <f>MIN(I117:J117)</f>
        <v>0.19276675479350086</v>
      </c>
      <c r="J118" s="36"/>
      <c r="K118" s="36">
        <f>MIN(K117:M117)</f>
        <v>2</v>
      </c>
      <c r="L118" s="36"/>
      <c r="M118" s="36"/>
    </row>
    <row r="119" spans="2:13" hidden="1">
      <c r="B119" s="1"/>
      <c r="C119" s="1"/>
      <c r="D119" s="1"/>
      <c r="E119" s="1"/>
      <c r="F119" s="21" t="s">
        <v>70</v>
      </c>
      <c r="G119" s="1">
        <f>IF(G116=1,G114-G115,0)</f>
        <v>0</v>
      </c>
      <c r="H119" s="1">
        <f t="shared" ref="H119:M119" si="53">IF(H116=1,H114-H115,0)</f>
        <v>0</v>
      </c>
      <c r="I119" s="1">
        <f t="shared" si="53"/>
        <v>0</v>
      </c>
      <c r="J119" s="1">
        <f t="shared" si="53"/>
        <v>0</v>
      </c>
      <c r="K119" s="1">
        <f t="shared" si="53"/>
        <v>586.07495548000645</v>
      </c>
      <c r="L119" s="1">
        <f t="shared" si="53"/>
        <v>0</v>
      </c>
      <c r="M119" s="1">
        <f t="shared" si="53"/>
        <v>0</v>
      </c>
    </row>
    <row r="120" spans="2:13" hidden="1">
      <c r="B120" s="1"/>
      <c r="C120" s="1"/>
      <c r="D120" s="1"/>
      <c r="E120" s="1"/>
      <c r="F120" s="1" t="s">
        <v>82</v>
      </c>
      <c r="G120" s="1">
        <f>IF(AND(G$116&lt;&gt;1,$G$117&lt;$I$118,$G$117&lt;$K$118),ROUND(SUM($I$119:$M$119)*G111/($G$111+$H$111)+G114,0),G115)</f>
        <v>936</v>
      </c>
      <c r="H120" s="1">
        <f>IF(AND(H$116&lt;&gt;1,$H$117&lt;$I$118,$H$117&lt;$K$118),ROUND(SUM($I$119:$M$119)*H111/($G$111+$H$111)+H114,0),H115)</f>
        <v>0</v>
      </c>
      <c r="I120" s="1">
        <f>IF(AND(I$116&lt;&gt;1,$I$117&lt;$G$118,$I$117&lt;$K$118),ROUND((SUM($G$119:$H$119)+SUM($K$119:$M$119))*I111/($I$111+$J$111)+I114,0),I115)</f>
        <v>211</v>
      </c>
      <c r="J120" s="1">
        <f>IF(AND(J$116&lt;&gt;1,$J$117&lt;$G$118,$J$117&lt;$K$118),ROUND((SUM($G$119:$H$119)+SUM($K$119:$M$119))*J111/($I$111+$J$111)+J114,0),J115)</f>
        <v>1053</v>
      </c>
      <c r="K120" s="1">
        <f>IF(AND(K$116&lt;&gt;1,$K$117&lt;$I$118,$K$117&lt;$G$118),ROUND(SUM($G$119:$J$119)*K111/SUM($K$111:$M$111)+K114,0),K115)</f>
        <v>30</v>
      </c>
      <c r="L120" s="1">
        <f>IF(AND($L$116&lt;&gt;1,$L$117&lt;$I$118,$L$117&lt;$G$118),ROUND(SUM($G$119:$J$119)*L111/SUM($K$111:$M$111)+L114,0),L115)</f>
        <v>0</v>
      </c>
      <c r="M120" s="1">
        <f>IF(AND($M$116&lt;&gt;1,$M$117&lt;$I$118,$M$117&lt;$G$118),ROUND(SUM($G$119:$J$119)*M111/SUM($K$111:$M$111)+M114,0),M115)</f>
        <v>0</v>
      </c>
    </row>
    <row r="121" spans="2:13" hidden="1">
      <c r="B121" s="1"/>
      <c r="C121" s="1"/>
      <c r="D121" s="1"/>
      <c r="E121" s="1"/>
      <c r="F121" s="1" t="s">
        <v>83</v>
      </c>
      <c r="G121" s="1">
        <f>IF(AND(G13&lt;&gt;0,G13&lt;=G120),1,0)</f>
        <v>0</v>
      </c>
      <c r="H121" s="1">
        <f t="shared" ref="H121:M121" si="54">IF(AND(H13&lt;&gt;0,H13&lt;=H120),1,0)</f>
        <v>0</v>
      </c>
      <c r="I121" s="1">
        <f t="shared" si="54"/>
        <v>1</v>
      </c>
      <c r="J121" s="1">
        <f t="shared" si="54"/>
        <v>1</v>
      </c>
      <c r="K121" s="1">
        <f t="shared" si="54"/>
        <v>1</v>
      </c>
      <c r="L121" s="1">
        <f t="shared" si="54"/>
        <v>0</v>
      </c>
      <c r="M121" s="1">
        <f t="shared" si="54"/>
        <v>0</v>
      </c>
    </row>
    <row r="122" spans="2:13" hidden="1">
      <c r="B122" s="1"/>
      <c r="C122" s="1"/>
      <c r="D122" s="1"/>
      <c r="E122" s="1" t="s">
        <v>84</v>
      </c>
      <c r="F122" s="1">
        <f>SUM(G122:M122)</f>
        <v>2166</v>
      </c>
      <c r="G122" s="1">
        <f>IF(G121=1,G13,G120)</f>
        <v>936</v>
      </c>
      <c r="H122" s="1">
        <f t="shared" ref="H122:M122" si="55">IF(H121=1,H13,H120)</f>
        <v>0</v>
      </c>
      <c r="I122" s="1">
        <f t="shared" si="55"/>
        <v>200</v>
      </c>
      <c r="J122" s="1">
        <f t="shared" si="55"/>
        <v>1000</v>
      </c>
      <c r="K122" s="1">
        <f t="shared" si="55"/>
        <v>30</v>
      </c>
      <c r="L122" s="1">
        <f t="shared" si="55"/>
        <v>0</v>
      </c>
      <c r="M122" s="1">
        <f t="shared" si="55"/>
        <v>0</v>
      </c>
    </row>
    <row r="123" spans="2:13" hidden="1">
      <c r="B123" s="1"/>
      <c r="C123" s="1">
        <f>SUM(C111:F111)</f>
        <v>0.36579480992838626</v>
      </c>
      <c r="D123" s="1"/>
      <c r="E123" s="1" t="s">
        <v>85</v>
      </c>
      <c r="F123" s="1">
        <f>IF(ABS(C114-F122)&gt;=3,1,0)</f>
        <v>1</v>
      </c>
      <c r="G123" s="1">
        <f>IF(OR(G121=1,$F$123=0,G122=0),G122,ROUND(G122+($C$114-$F$122)*G111/($G$111+$H$111),0))</f>
        <v>1000</v>
      </c>
      <c r="H123" s="1">
        <f>IF(OR(H121=1,$F$123=0,H122=0),H122,ROUND(H122+($C$114-$F$122)*H111/($G$111+$H$111),0))</f>
        <v>0</v>
      </c>
      <c r="I123" s="1">
        <f>IF(OR(I121=1,$F$123=0,I122=0),I122,ROUND(I122+($C$114-$F$122)*I111/($I$111+$J$111),0))</f>
        <v>200</v>
      </c>
      <c r="J123" s="1">
        <f>IF(OR(J121=1,$F$123=0,J122=0),J122,ROUND(J122+($C$114-$F$122)*J111/($I$111+$J$111),0))</f>
        <v>1000</v>
      </c>
      <c r="K123" s="1">
        <f>IF(OR(K121=1,$F$123=0,K122=0),K122,ROUND(K122+($C$114-$F$122)*K111/SUM($K$111:$M$111),0))</f>
        <v>30</v>
      </c>
      <c r="L123" s="1">
        <f>IF(OR(L121=1,$F$123=0,L122=0),L122,ROUND(L122+($C$114-$F$122)*L111/SUM($K$111:$M$111),0))</f>
        <v>0</v>
      </c>
      <c r="M123" s="1">
        <f>IF(OR(M121=1,$F$123=0,M122=0),M122,ROUND(M122+($C$114-$F$122)*M111/SUM($K$111:$M$111),0))</f>
        <v>0</v>
      </c>
    </row>
    <row r="124" spans="2:13" hidden="1">
      <c r="B124" s="1"/>
      <c r="C124" s="1">
        <f>IF(C114-SUM(G124:M124)&gt;=3,C114-SUM(G124:M124),0)</f>
        <v>0</v>
      </c>
      <c r="D124" s="1">
        <f>IF(C124&lt;&gt;0,1,0)</f>
        <v>0</v>
      </c>
      <c r="E124" s="1"/>
      <c r="F124" s="20" t="s">
        <v>75</v>
      </c>
      <c r="G124" s="20">
        <f>IF(G123&gt;=G13,G13,G123)</f>
        <v>1000</v>
      </c>
      <c r="H124" s="20">
        <f t="shared" ref="H124:M124" si="56">IF(H123&gt;=H13,H13,H123)</f>
        <v>0</v>
      </c>
      <c r="I124" s="20">
        <f t="shared" si="56"/>
        <v>200</v>
      </c>
      <c r="J124" s="20">
        <f t="shared" si="56"/>
        <v>1000</v>
      </c>
      <c r="K124" s="20">
        <f t="shared" si="56"/>
        <v>30</v>
      </c>
      <c r="L124" s="20">
        <f t="shared" si="56"/>
        <v>0</v>
      </c>
      <c r="M124" s="20">
        <f t="shared" si="56"/>
        <v>0</v>
      </c>
    </row>
    <row r="125" spans="2:13" hidden="1">
      <c r="B125" s="32" t="s">
        <v>77</v>
      </c>
      <c r="C125" s="32">
        <f>IF($D$124=1,ROUND(C113+$C$124*C111/$C$123,0),C113)</f>
        <v>1000</v>
      </c>
      <c r="D125" s="32">
        <f t="shared" ref="D125:F125" si="57">IF($D$124=1,ROUND(D113+$C$124*D111/$C$123,0),D113)</f>
        <v>0</v>
      </c>
      <c r="E125" s="32">
        <f t="shared" si="57"/>
        <v>0</v>
      </c>
      <c r="F125" s="32">
        <f t="shared" si="57"/>
        <v>0</v>
      </c>
      <c r="G125" s="1"/>
      <c r="H125" s="1"/>
      <c r="I125" s="1"/>
      <c r="J125" s="1"/>
      <c r="K125" s="1"/>
      <c r="L125" s="1"/>
      <c r="M125" s="1"/>
    </row>
    <row r="126" spans="2:13" hidden="1"/>
    <row r="127" spans="2:13" hidden="1"/>
  </sheetData>
  <sheetProtection password="8511" sheet="1" objects="1" scenarios="1"/>
  <protectedRanges>
    <protectedRange sqref="C6:M6 C13:M13 C18:C21 F19:F24 F26:F34 J18:J19 M19:M24 M26:M34" name="範囲1"/>
  </protectedRanges>
  <mergeCells count="36">
    <mergeCell ref="G118:H118"/>
    <mergeCell ref="I118:J118"/>
    <mergeCell ref="K118:M118"/>
    <mergeCell ref="I25:J26"/>
    <mergeCell ref="I27:J28"/>
    <mergeCell ref="H25:H26"/>
    <mergeCell ref="H27:H28"/>
    <mergeCell ref="G98:H98"/>
    <mergeCell ref="I98:J98"/>
    <mergeCell ref="K98:M98"/>
    <mergeCell ref="I40:J40"/>
    <mergeCell ref="L40:M40"/>
    <mergeCell ref="C109:F109"/>
    <mergeCell ref="G109:H109"/>
    <mergeCell ref="I109:J109"/>
    <mergeCell ref="K109:M109"/>
    <mergeCell ref="C71:D71"/>
    <mergeCell ref="C89:F89"/>
    <mergeCell ref="G89:H89"/>
    <mergeCell ref="I89:J89"/>
    <mergeCell ref="K89:M89"/>
    <mergeCell ref="C11:F11"/>
    <mergeCell ref="G11:H11"/>
    <mergeCell ref="I11:J11"/>
    <mergeCell ref="K11:M11"/>
    <mergeCell ref="E18:F18"/>
    <mergeCell ref="E25:F25"/>
    <mergeCell ref="E17:F17"/>
    <mergeCell ref="L17:M17"/>
    <mergeCell ref="L18:M18"/>
    <mergeCell ref="L25:M25"/>
    <mergeCell ref="A1:N2"/>
    <mergeCell ref="C4:F4"/>
    <mergeCell ref="G4:H4"/>
    <mergeCell ref="I4:J4"/>
    <mergeCell ref="K4:M4"/>
  </mergeCells>
  <phoneticPr fontId="1"/>
  <dataValidations count="3">
    <dataValidation type="list" allowBlank="1" showInputMessage="1" showErrorMessage="1" sqref="C19">
      <formula1>"歩兵,槍,弓,馬"</formula1>
    </dataValidation>
    <dataValidation type="list" allowBlank="1" showInputMessage="1" showErrorMessage="1" sqref="C21 J19">
      <formula1>"あり,なし"</formula1>
    </dataValidation>
    <dataValidation type="list" allowBlank="1" showInputMessage="1" showErrorMessage="1" sqref="J18">
      <formula1>"0,0.2,0.4,0.6,1,2"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7"/>
  <sheetViews>
    <sheetView workbookViewId="0">
      <selection activeCell="D29" sqref="D29"/>
    </sheetView>
  </sheetViews>
  <sheetFormatPr defaultRowHeight="13.5"/>
  <cols>
    <col min="14" max="14" width="9.5" bestFit="1" customWidth="1"/>
    <col min="15" max="20" width="9" customWidth="1"/>
  </cols>
  <sheetData>
    <row r="1" spans="1:14">
      <c r="A1" s="34" t="s">
        <v>91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4.2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>
      <c r="A4" s="6"/>
      <c r="B4" s="1" t="s">
        <v>0</v>
      </c>
      <c r="C4" s="36" t="s">
        <v>1</v>
      </c>
      <c r="D4" s="36"/>
      <c r="E4" s="36"/>
      <c r="F4" s="36"/>
      <c r="G4" s="36" t="s">
        <v>6</v>
      </c>
      <c r="H4" s="36"/>
      <c r="I4" s="36" t="s">
        <v>9</v>
      </c>
      <c r="J4" s="36"/>
      <c r="K4" s="36" t="s">
        <v>12</v>
      </c>
      <c r="L4" s="36"/>
      <c r="M4" s="36"/>
      <c r="N4" s="7"/>
    </row>
    <row r="5" spans="1:14">
      <c r="A5" s="6"/>
      <c r="B5" s="1" t="s">
        <v>16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7</v>
      </c>
      <c r="H5" s="1" t="s">
        <v>8</v>
      </c>
      <c r="I5" s="1" t="s">
        <v>10</v>
      </c>
      <c r="J5" s="1" t="s">
        <v>11</v>
      </c>
      <c r="K5" s="1" t="s">
        <v>13</v>
      </c>
      <c r="L5" s="1" t="s">
        <v>14</v>
      </c>
      <c r="M5" s="1" t="s">
        <v>15</v>
      </c>
      <c r="N5" s="7"/>
    </row>
    <row r="6" spans="1:14">
      <c r="A6" s="6"/>
      <c r="B6" s="1" t="s">
        <v>17</v>
      </c>
      <c r="C6" s="2"/>
      <c r="D6" s="2">
        <v>0</v>
      </c>
      <c r="E6" s="2">
        <v>0</v>
      </c>
      <c r="F6" s="2">
        <v>0</v>
      </c>
      <c r="G6" s="2">
        <v>5000</v>
      </c>
      <c r="H6" s="2"/>
      <c r="I6" s="2">
        <v>0</v>
      </c>
      <c r="J6" s="2">
        <v>0</v>
      </c>
      <c r="K6" s="2">
        <v>100</v>
      </c>
      <c r="L6" s="2"/>
      <c r="M6" s="2">
        <v>0</v>
      </c>
      <c r="N6" s="7"/>
    </row>
    <row r="7" spans="1:14">
      <c r="A7" s="6"/>
      <c r="B7" s="1" t="s">
        <v>18</v>
      </c>
      <c r="C7" s="33">
        <f>IF($J$61&lt;0.85,C105,C6)</f>
        <v>0</v>
      </c>
      <c r="D7" s="33">
        <f t="shared" ref="D7:F7" si="0">IF($J$61&lt;0.85,D105,D6)</f>
        <v>0</v>
      </c>
      <c r="E7" s="33">
        <f t="shared" si="0"/>
        <v>0</v>
      </c>
      <c r="F7" s="33">
        <f t="shared" si="0"/>
        <v>0</v>
      </c>
      <c r="G7" s="33">
        <f>IF($J$61&lt;0.85,G104,G6)</f>
        <v>2465</v>
      </c>
      <c r="H7" s="33">
        <f t="shared" ref="H7:M7" si="1">IF($J$61&lt;0.85,H104,H6)</f>
        <v>0</v>
      </c>
      <c r="I7" s="33">
        <f t="shared" si="1"/>
        <v>0</v>
      </c>
      <c r="J7" s="33">
        <f t="shared" si="1"/>
        <v>0</v>
      </c>
      <c r="K7" s="33">
        <f t="shared" si="1"/>
        <v>100</v>
      </c>
      <c r="L7" s="33">
        <f t="shared" si="1"/>
        <v>0</v>
      </c>
      <c r="M7" s="33">
        <f t="shared" si="1"/>
        <v>0</v>
      </c>
      <c r="N7" s="7"/>
    </row>
    <row r="8" spans="1:14">
      <c r="A8" s="6"/>
      <c r="B8" s="1" t="s">
        <v>19</v>
      </c>
      <c r="C8" s="33">
        <f>C6-C7</f>
        <v>0</v>
      </c>
      <c r="D8" s="33">
        <f t="shared" ref="D8:M8" si="2">D6-D7</f>
        <v>0</v>
      </c>
      <c r="E8" s="33">
        <f t="shared" si="2"/>
        <v>0</v>
      </c>
      <c r="F8" s="33">
        <f t="shared" si="2"/>
        <v>0</v>
      </c>
      <c r="G8" s="33">
        <f t="shared" si="2"/>
        <v>2535</v>
      </c>
      <c r="H8" s="33">
        <f t="shared" si="2"/>
        <v>0</v>
      </c>
      <c r="I8" s="33">
        <f t="shared" si="2"/>
        <v>0</v>
      </c>
      <c r="J8" s="33">
        <f t="shared" si="2"/>
        <v>0</v>
      </c>
      <c r="K8" s="33">
        <f t="shared" si="2"/>
        <v>0</v>
      </c>
      <c r="L8" s="33">
        <f t="shared" si="2"/>
        <v>0</v>
      </c>
      <c r="M8" s="33">
        <f t="shared" si="2"/>
        <v>0</v>
      </c>
      <c r="N8" s="7"/>
    </row>
    <row r="9" spans="1:14">
      <c r="A9" s="6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7"/>
    </row>
    <row r="10" spans="1:14">
      <c r="A10" s="6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7"/>
    </row>
    <row r="11" spans="1:14">
      <c r="A11" s="6"/>
      <c r="B11" s="1" t="s">
        <v>43</v>
      </c>
      <c r="C11" s="36" t="s">
        <v>1</v>
      </c>
      <c r="D11" s="36"/>
      <c r="E11" s="36"/>
      <c r="F11" s="36"/>
      <c r="G11" s="36" t="s">
        <v>6</v>
      </c>
      <c r="H11" s="36"/>
      <c r="I11" s="36" t="s">
        <v>9</v>
      </c>
      <c r="J11" s="36"/>
      <c r="K11" s="36" t="s">
        <v>12</v>
      </c>
      <c r="L11" s="36"/>
      <c r="M11" s="36"/>
      <c r="N11" s="7"/>
    </row>
    <row r="12" spans="1:14">
      <c r="A12" s="6"/>
      <c r="B12" s="1" t="s">
        <v>16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7</v>
      </c>
      <c r="H12" s="1" t="s">
        <v>8</v>
      </c>
      <c r="I12" s="1" t="s">
        <v>10</v>
      </c>
      <c r="J12" s="1" t="s">
        <v>11</v>
      </c>
      <c r="K12" s="1" t="s">
        <v>13</v>
      </c>
      <c r="L12" s="1" t="s">
        <v>14</v>
      </c>
      <c r="M12" s="1" t="s">
        <v>15</v>
      </c>
      <c r="N12" s="7"/>
    </row>
    <row r="13" spans="1:14">
      <c r="A13" s="6"/>
      <c r="B13" s="1" t="s">
        <v>17</v>
      </c>
      <c r="C13" s="2">
        <v>1000</v>
      </c>
      <c r="D13" s="2"/>
      <c r="E13" s="2"/>
      <c r="F13" s="2"/>
      <c r="G13" s="2">
        <v>1000</v>
      </c>
      <c r="H13" s="2"/>
      <c r="I13" s="2">
        <v>200</v>
      </c>
      <c r="J13" s="2">
        <v>1000</v>
      </c>
      <c r="K13" s="2">
        <v>30</v>
      </c>
      <c r="L13" s="2"/>
      <c r="M13" s="2">
        <v>0</v>
      </c>
      <c r="N13" s="7"/>
    </row>
    <row r="14" spans="1:14">
      <c r="A14" s="6"/>
      <c r="B14" s="1" t="s">
        <v>18</v>
      </c>
      <c r="C14" s="33">
        <f>IF($K$61&lt;0.85,C125,C13)</f>
        <v>587</v>
      </c>
      <c r="D14" s="33">
        <f>IF($K$61&lt;0.85,D125,D13)</f>
        <v>0</v>
      </c>
      <c r="E14" s="33">
        <f>IF($K$61&lt;0.85,E125,E13)</f>
        <v>0</v>
      </c>
      <c r="F14" s="33">
        <f>IF($K$61&lt;0.85,F125,F13)</f>
        <v>0</v>
      </c>
      <c r="G14" s="33">
        <f t="shared" ref="G14:M14" si="3">IF($K$61&lt;0.85,G124,G13)</f>
        <v>427</v>
      </c>
      <c r="H14" s="33">
        <f t="shared" si="3"/>
        <v>0</v>
      </c>
      <c r="I14" s="33">
        <f t="shared" si="3"/>
        <v>93</v>
      </c>
      <c r="J14" s="33">
        <f t="shared" si="3"/>
        <v>467</v>
      </c>
      <c r="K14" s="33">
        <f t="shared" si="3"/>
        <v>30</v>
      </c>
      <c r="L14" s="33">
        <f t="shared" si="3"/>
        <v>0</v>
      </c>
      <c r="M14" s="33">
        <f t="shared" si="3"/>
        <v>0</v>
      </c>
      <c r="N14" s="7"/>
    </row>
    <row r="15" spans="1:14">
      <c r="A15" s="6"/>
      <c r="B15" s="1" t="s">
        <v>19</v>
      </c>
      <c r="C15" s="33">
        <f>C13-C14</f>
        <v>413</v>
      </c>
      <c r="D15" s="33">
        <f t="shared" ref="D15:M15" si="4">D13-D14</f>
        <v>0</v>
      </c>
      <c r="E15" s="33">
        <f t="shared" si="4"/>
        <v>0</v>
      </c>
      <c r="F15" s="33">
        <f t="shared" si="4"/>
        <v>0</v>
      </c>
      <c r="G15" s="33">
        <f t="shared" si="4"/>
        <v>573</v>
      </c>
      <c r="H15" s="33">
        <f t="shared" si="4"/>
        <v>0</v>
      </c>
      <c r="I15" s="33">
        <f t="shared" si="4"/>
        <v>107</v>
      </c>
      <c r="J15" s="33">
        <f t="shared" si="4"/>
        <v>533</v>
      </c>
      <c r="K15" s="33">
        <f t="shared" si="4"/>
        <v>0</v>
      </c>
      <c r="L15" s="33">
        <f t="shared" si="4"/>
        <v>0</v>
      </c>
      <c r="M15" s="33">
        <f t="shared" si="4"/>
        <v>0</v>
      </c>
      <c r="N15" s="7"/>
    </row>
    <row r="16" spans="1:14">
      <c r="A16" s="6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7"/>
    </row>
    <row r="17" spans="1:14">
      <c r="A17" s="6"/>
      <c r="B17" s="8" t="s">
        <v>20</v>
      </c>
      <c r="C17" s="8"/>
      <c r="D17" s="8"/>
      <c r="E17" s="39" t="s">
        <v>30</v>
      </c>
      <c r="F17" s="39"/>
      <c r="G17" s="8"/>
      <c r="H17" s="8"/>
      <c r="I17" s="8" t="s">
        <v>32</v>
      </c>
      <c r="J17" s="8"/>
      <c r="K17" s="8"/>
      <c r="L17" s="39" t="s">
        <v>31</v>
      </c>
      <c r="M17" s="39"/>
      <c r="N17" s="7"/>
    </row>
    <row r="18" spans="1:14">
      <c r="A18" s="6"/>
      <c r="B18" s="1" t="s">
        <v>21</v>
      </c>
      <c r="C18" s="2">
        <v>0</v>
      </c>
      <c r="D18" s="8"/>
      <c r="E18" s="40" t="s">
        <v>38</v>
      </c>
      <c r="F18" s="40"/>
      <c r="G18" s="8"/>
      <c r="H18" s="8"/>
      <c r="I18" s="19" t="s">
        <v>53</v>
      </c>
      <c r="J18" s="2"/>
      <c r="K18" s="8"/>
      <c r="L18" s="40" t="s">
        <v>38</v>
      </c>
      <c r="M18" s="40"/>
      <c r="N18" s="7"/>
    </row>
    <row r="19" spans="1:14">
      <c r="A19" s="6"/>
      <c r="B19" s="1" t="s">
        <v>22</v>
      </c>
      <c r="C19" s="2" t="s">
        <v>89</v>
      </c>
      <c r="D19" s="8"/>
      <c r="E19" s="1" t="s">
        <v>26</v>
      </c>
      <c r="F19" s="2"/>
      <c r="G19" s="8"/>
      <c r="H19" s="8"/>
      <c r="I19" s="1" t="s">
        <v>33</v>
      </c>
      <c r="J19" s="2"/>
      <c r="K19" s="8"/>
      <c r="L19" s="1" t="s">
        <v>26</v>
      </c>
      <c r="M19" s="2"/>
      <c r="N19" s="7"/>
    </row>
    <row r="20" spans="1:14">
      <c r="A20" s="6"/>
      <c r="B20" s="1" t="s">
        <v>23</v>
      </c>
      <c r="C20" s="2">
        <v>100</v>
      </c>
      <c r="D20" s="8"/>
      <c r="E20" s="1" t="s">
        <v>2</v>
      </c>
      <c r="F20" s="2"/>
      <c r="G20" s="8"/>
      <c r="H20" s="14"/>
      <c r="J20" s="14"/>
      <c r="K20" s="8"/>
      <c r="L20" s="1" t="s">
        <v>2</v>
      </c>
      <c r="M20" s="2"/>
      <c r="N20" s="7"/>
    </row>
    <row r="21" spans="1:14">
      <c r="A21" s="6"/>
      <c r="B21" s="1" t="s">
        <v>24</v>
      </c>
      <c r="C21" s="2"/>
      <c r="D21" s="8"/>
      <c r="E21" s="1" t="s">
        <v>6</v>
      </c>
      <c r="F21" s="2"/>
      <c r="G21" s="8"/>
      <c r="H21" s="8"/>
      <c r="I21" s="8"/>
      <c r="J21" s="8"/>
      <c r="K21" s="8"/>
      <c r="L21" s="1" t="s">
        <v>6</v>
      </c>
      <c r="M21" s="2"/>
      <c r="N21" s="7"/>
    </row>
    <row r="22" spans="1:14">
      <c r="A22" s="6"/>
      <c r="B22" s="1" t="s">
        <v>25</v>
      </c>
      <c r="C22" s="33">
        <f>IF(J61&gt;0.85,0,ROUNDDOWN(C20*(1-J61),0))</f>
        <v>49</v>
      </c>
      <c r="D22" s="8"/>
      <c r="E22" s="1" t="s">
        <v>9</v>
      </c>
      <c r="F22" s="2"/>
      <c r="G22" s="8"/>
      <c r="H22" s="8"/>
      <c r="I22" s="8"/>
      <c r="J22" s="8"/>
      <c r="K22" s="8"/>
      <c r="L22" s="1" t="s">
        <v>9</v>
      </c>
      <c r="M22" s="2"/>
      <c r="N22" s="7"/>
    </row>
    <row r="23" spans="1:14">
      <c r="A23" s="6"/>
      <c r="B23" s="15" t="s">
        <v>86</v>
      </c>
      <c r="C23" s="33" t="str">
        <f>IF(J61&lt;=0.85,"生存","（ﾉ･∀･）ﾉ = ●ｳﾝｺｰ!!")</f>
        <v>生存</v>
      </c>
      <c r="D23" s="8"/>
      <c r="E23" s="1" t="s">
        <v>12</v>
      </c>
      <c r="F23" s="2"/>
      <c r="G23" s="8"/>
      <c r="H23" s="8"/>
      <c r="I23" s="8"/>
      <c r="J23" s="8"/>
      <c r="K23" s="8"/>
      <c r="L23" s="1" t="s">
        <v>12</v>
      </c>
      <c r="M23" s="2"/>
      <c r="N23" s="7"/>
    </row>
    <row r="24" spans="1:14">
      <c r="A24" s="6"/>
      <c r="B24" s="8"/>
      <c r="C24" s="8"/>
      <c r="D24" s="8"/>
      <c r="E24" s="1" t="s">
        <v>39</v>
      </c>
      <c r="F24" s="2"/>
      <c r="G24" s="8"/>
      <c r="H24" s="8"/>
      <c r="I24" s="8"/>
      <c r="J24" s="8"/>
      <c r="K24" s="8"/>
      <c r="L24" s="1" t="s">
        <v>39</v>
      </c>
      <c r="M24" s="2"/>
      <c r="N24" s="7"/>
    </row>
    <row r="25" spans="1:14">
      <c r="A25" s="6"/>
      <c r="B25" s="8"/>
      <c r="C25" s="8"/>
      <c r="D25" s="8"/>
      <c r="E25" s="37" t="s">
        <v>37</v>
      </c>
      <c r="F25" s="38"/>
      <c r="G25" s="8"/>
      <c r="H25" s="44"/>
      <c r="I25" s="42" t="s">
        <v>87</v>
      </c>
      <c r="J25" s="42"/>
      <c r="K25" s="8"/>
      <c r="L25" s="37" t="s">
        <v>41</v>
      </c>
      <c r="M25" s="38"/>
      <c r="N25" s="7"/>
    </row>
    <row r="26" spans="1:14">
      <c r="A26" s="6"/>
      <c r="B26" s="8"/>
      <c r="C26" s="8"/>
      <c r="D26" s="8"/>
      <c r="E26" s="1" t="s">
        <v>2</v>
      </c>
      <c r="F26" s="2"/>
      <c r="G26" s="8"/>
      <c r="H26" s="45"/>
      <c r="I26" s="42"/>
      <c r="J26" s="42"/>
      <c r="K26" s="8"/>
      <c r="L26" s="1" t="s">
        <v>2</v>
      </c>
      <c r="M26" s="2">
        <v>0</v>
      </c>
      <c r="N26" s="7"/>
    </row>
    <row r="27" spans="1:14">
      <c r="A27" s="6"/>
      <c r="B27" s="8"/>
      <c r="C27" s="8"/>
      <c r="D27" s="8"/>
      <c r="E27" s="1" t="s">
        <v>3</v>
      </c>
      <c r="F27" s="2"/>
      <c r="G27" s="8"/>
      <c r="H27" s="46"/>
      <c r="I27" s="43" t="s">
        <v>88</v>
      </c>
      <c r="J27" s="43"/>
      <c r="K27" s="8"/>
      <c r="L27" s="1" t="s">
        <v>3</v>
      </c>
      <c r="M27" s="2"/>
      <c r="N27" s="7"/>
    </row>
    <row r="28" spans="1:14">
      <c r="A28" s="6"/>
      <c r="B28" s="8"/>
      <c r="C28" s="8"/>
      <c r="D28" s="8"/>
      <c r="E28" s="1" t="s">
        <v>4</v>
      </c>
      <c r="F28" s="2"/>
      <c r="G28" s="8"/>
      <c r="H28" s="47"/>
      <c r="I28" s="43"/>
      <c r="J28" s="43"/>
      <c r="K28" s="8"/>
      <c r="L28" s="1" t="s">
        <v>4</v>
      </c>
      <c r="M28" s="2"/>
      <c r="N28" s="7"/>
    </row>
    <row r="29" spans="1:14">
      <c r="A29" s="6"/>
      <c r="B29" s="8"/>
      <c r="C29" s="8"/>
      <c r="D29" s="8"/>
      <c r="E29" s="1" t="s">
        <v>7</v>
      </c>
      <c r="F29" s="2"/>
      <c r="G29" s="8"/>
      <c r="H29" s="8"/>
      <c r="I29" s="8"/>
      <c r="J29" s="8"/>
      <c r="K29" s="8"/>
      <c r="L29" s="1" t="s">
        <v>7</v>
      </c>
      <c r="M29" s="2"/>
      <c r="N29" s="7"/>
    </row>
    <row r="30" spans="1:14">
      <c r="A30" s="6"/>
      <c r="B30" s="8"/>
      <c r="C30" s="8"/>
      <c r="D30" s="8"/>
      <c r="E30" s="1" t="s">
        <v>27</v>
      </c>
      <c r="F30" s="2"/>
      <c r="G30" s="8"/>
      <c r="H30" s="8"/>
      <c r="I30" s="8"/>
      <c r="J30" s="8"/>
      <c r="K30" s="8"/>
      <c r="L30" s="1" t="s">
        <v>27</v>
      </c>
      <c r="M30" s="2"/>
      <c r="N30" s="7"/>
    </row>
    <row r="31" spans="1:14">
      <c r="A31" s="6"/>
      <c r="B31" s="8"/>
      <c r="C31" s="8"/>
      <c r="D31" s="8"/>
      <c r="E31" s="1" t="s">
        <v>10</v>
      </c>
      <c r="F31" s="2"/>
      <c r="G31" s="8"/>
      <c r="H31" s="8"/>
      <c r="I31" s="8"/>
      <c r="J31" s="8"/>
      <c r="K31" s="8"/>
      <c r="L31" s="1" t="s">
        <v>10</v>
      </c>
      <c r="M31" s="2"/>
      <c r="N31" s="7"/>
    </row>
    <row r="32" spans="1:14">
      <c r="A32" s="6"/>
      <c r="B32" s="8"/>
      <c r="C32" s="8"/>
      <c r="D32" s="8"/>
      <c r="E32" s="1" t="s">
        <v>28</v>
      </c>
      <c r="F32" s="2"/>
      <c r="G32" s="8"/>
      <c r="H32" s="8"/>
      <c r="I32" s="8"/>
      <c r="J32" s="8"/>
      <c r="K32" s="8"/>
      <c r="L32" s="1" t="s">
        <v>28</v>
      </c>
      <c r="M32" s="2"/>
      <c r="N32" s="7"/>
    </row>
    <row r="33" spans="1:18">
      <c r="A33" s="6"/>
      <c r="B33" s="8"/>
      <c r="C33" s="8"/>
      <c r="D33" s="8"/>
      <c r="E33" s="1" t="s">
        <v>13</v>
      </c>
      <c r="F33" s="2"/>
      <c r="G33" s="8"/>
      <c r="H33" s="8"/>
      <c r="I33" s="8"/>
      <c r="J33" s="8"/>
      <c r="K33" s="8"/>
      <c r="L33" s="1" t="s">
        <v>13</v>
      </c>
      <c r="M33" s="2"/>
      <c r="N33" s="7"/>
    </row>
    <row r="34" spans="1:18">
      <c r="A34" s="6"/>
      <c r="B34" s="8"/>
      <c r="C34" s="8"/>
      <c r="D34" s="8"/>
      <c r="E34" s="1" t="s">
        <v>29</v>
      </c>
      <c r="F34" s="2"/>
      <c r="G34" s="8"/>
      <c r="H34" s="8"/>
      <c r="I34" s="8"/>
      <c r="J34" s="8"/>
      <c r="K34" s="8"/>
      <c r="L34" s="1" t="s">
        <v>29</v>
      </c>
      <c r="M34" s="2"/>
      <c r="N34" s="7"/>
    </row>
    <row r="35" spans="1:18">
      <c r="A35" s="6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7"/>
    </row>
    <row r="36" spans="1:18">
      <c r="A36" s="6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7"/>
    </row>
    <row r="37" spans="1:18" ht="14.25" thickBot="1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/>
    </row>
    <row r="38" spans="1:18" hidden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8" hidden="1">
      <c r="A39" t="s">
        <v>34</v>
      </c>
    </row>
    <row r="40" spans="1:18" hidden="1">
      <c r="B40" s="1"/>
      <c r="C40" s="1" t="s">
        <v>21</v>
      </c>
      <c r="D40" s="1" t="s">
        <v>1</v>
      </c>
      <c r="E40" s="1" t="s">
        <v>6</v>
      </c>
      <c r="F40" s="1" t="s">
        <v>9</v>
      </c>
      <c r="G40" s="1" t="s">
        <v>12</v>
      </c>
      <c r="I40" s="36" t="s">
        <v>42</v>
      </c>
      <c r="J40" s="36"/>
      <c r="L40" s="40" t="s">
        <v>50</v>
      </c>
      <c r="M40" s="40"/>
      <c r="O40" s="28" t="s">
        <v>1</v>
      </c>
      <c r="P40" s="1" t="s">
        <v>6</v>
      </c>
      <c r="Q40" s="1" t="s">
        <v>9</v>
      </c>
      <c r="R40" s="1" t="s">
        <v>12</v>
      </c>
    </row>
    <row r="41" spans="1:18" hidden="1">
      <c r="A41" t="s">
        <v>35</v>
      </c>
      <c r="B41" s="1" t="s">
        <v>2</v>
      </c>
      <c r="C41" s="15">
        <v>15</v>
      </c>
      <c r="D41" s="15">
        <v>15</v>
      </c>
      <c r="E41" s="15">
        <v>10</v>
      </c>
      <c r="F41" s="15">
        <v>10</v>
      </c>
      <c r="G41" s="15">
        <v>10</v>
      </c>
      <c r="I41" s="1" t="s">
        <v>2</v>
      </c>
      <c r="J41" s="1">
        <f>C54*C6</f>
        <v>0</v>
      </c>
      <c r="L41" s="1" t="s">
        <v>2</v>
      </c>
      <c r="M41" s="1">
        <f>H72*C13</f>
        <v>10000</v>
      </c>
      <c r="O41" s="1">
        <f>A54*D54</f>
        <v>15000</v>
      </c>
      <c r="P41" s="1">
        <f>A54*E54</f>
        <v>10000</v>
      </c>
      <c r="Q41" s="1">
        <f>A54*F54</f>
        <v>10000</v>
      </c>
      <c r="R41" s="1">
        <f>A54*G54</f>
        <v>10000</v>
      </c>
    </row>
    <row r="42" spans="1:18" hidden="1">
      <c r="B42" s="1" t="s">
        <v>3</v>
      </c>
      <c r="C42" s="15">
        <v>15</v>
      </c>
      <c r="D42" s="15">
        <v>10</v>
      </c>
      <c r="E42" s="15">
        <v>10</v>
      </c>
      <c r="F42" s="15">
        <v>10</v>
      </c>
      <c r="G42" s="15">
        <v>10</v>
      </c>
      <c r="I42" s="1" t="s">
        <v>3</v>
      </c>
      <c r="J42" s="1">
        <f>C55*D6</f>
        <v>0</v>
      </c>
      <c r="L42" s="1" t="s">
        <v>3</v>
      </c>
      <c r="M42" s="1">
        <f>H73*D13</f>
        <v>0</v>
      </c>
      <c r="O42" s="1">
        <f t="shared" ref="O42:O51" si="5">A55*D55</f>
        <v>0</v>
      </c>
      <c r="P42" s="1">
        <f t="shared" ref="P42:P51" si="6">A55*E55</f>
        <v>0</v>
      </c>
      <c r="Q42" s="1">
        <f t="shared" ref="Q42:Q51" si="7">A55*F55</f>
        <v>0</v>
      </c>
      <c r="R42" s="1">
        <f t="shared" ref="R42:R51" si="8">A55*G55</f>
        <v>0</v>
      </c>
    </row>
    <row r="43" spans="1:18" hidden="1">
      <c r="B43" s="1" t="s">
        <v>4</v>
      </c>
      <c r="C43" s="15">
        <v>30</v>
      </c>
      <c r="D43" s="15">
        <v>15</v>
      </c>
      <c r="E43" s="15">
        <v>15</v>
      </c>
      <c r="F43" s="15">
        <v>15</v>
      </c>
      <c r="G43" s="15">
        <v>15</v>
      </c>
      <c r="I43" s="1" t="s">
        <v>4</v>
      </c>
      <c r="J43" s="1">
        <f>C56*E6</f>
        <v>0</v>
      </c>
      <c r="L43" s="1" t="s">
        <v>4</v>
      </c>
      <c r="M43" s="1">
        <f>H74*E13</f>
        <v>0</v>
      </c>
      <c r="O43" s="1">
        <f t="shared" si="5"/>
        <v>0</v>
      </c>
      <c r="P43" s="1">
        <f t="shared" si="6"/>
        <v>0</v>
      </c>
      <c r="Q43" s="1">
        <f t="shared" si="7"/>
        <v>0</v>
      </c>
      <c r="R43" s="1">
        <f t="shared" si="8"/>
        <v>0</v>
      </c>
    </row>
    <row r="44" spans="1:18" hidden="1">
      <c r="B44" s="1" t="s">
        <v>5</v>
      </c>
      <c r="C44" s="15">
        <v>0</v>
      </c>
      <c r="D44" s="15">
        <v>10</v>
      </c>
      <c r="E44" s="15">
        <v>10</v>
      </c>
      <c r="F44" s="15">
        <v>5</v>
      </c>
      <c r="G44" s="15">
        <v>5</v>
      </c>
      <c r="I44" s="1" t="s">
        <v>5</v>
      </c>
      <c r="J44" s="1">
        <f>C57*F6</f>
        <v>0</v>
      </c>
      <c r="L44" s="1" t="s">
        <v>5</v>
      </c>
      <c r="M44" s="1">
        <f>F13</f>
        <v>0</v>
      </c>
      <c r="O44" s="1">
        <f t="shared" si="5"/>
        <v>0</v>
      </c>
      <c r="P44" s="1">
        <f t="shared" si="6"/>
        <v>0</v>
      </c>
      <c r="Q44" s="1">
        <f t="shared" si="7"/>
        <v>0</v>
      </c>
      <c r="R44" s="1">
        <f t="shared" si="8"/>
        <v>0</v>
      </c>
    </row>
    <row r="45" spans="1:18" hidden="1">
      <c r="B45" s="1" t="s">
        <v>7</v>
      </c>
      <c r="C45" s="15">
        <v>40</v>
      </c>
      <c r="D45" s="15">
        <v>50</v>
      </c>
      <c r="E45" s="15">
        <v>40</v>
      </c>
      <c r="F45" s="15">
        <v>25</v>
      </c>
      <c r="G45" s="15">
        <v>55</v>
      </c>
      <c r="I45" s="1" t="s">
        <v>7</v>
      </c>
      <c r="J45" s="1">
        <f>C58*G6</f>
        <v>200000</v>
      </c>
      <c r="L45" s="1" t="s">
        <v>7</v>
      </c>
      <c r="M45" s="1">
        <f>H76*G13</f>
        <v>40294.059988237597</v>
      </c>
      <c r="O45" s="1">
        <f t="shared" si="5"/>
        <v>50000</v>
      </c>
      <c r="P45" s="1">
        <f t="shared" si="6"/>
        <v>40000</v>
      </c>
      <c r="Q45" s="1">
        <f t="shared" si="7"/>
        <v>25000</v>
      </c>
      <c r="R45" s="1">
        <f t="shared" si="8"/>
        <v>55000</v>
      </c>
    </row>
    <row r="46" spans="1:18" hidden="1">
      <c r="B46" s="1" t="s">
        <v>8</v>
      </c>
      <c r="C46" s="15">
        <v>100</v>
      </c>
      <c r="D46" s="15">
        <v>200</v>
      </c>
      <c r="E46" s="15">
        <v>100</v>
      </c>
      <c r="F46" s="15">
        <v>63</v>
      </c>
      <c r="G46" s="15">
        <v>137</v>
      </c>
      <c r="I46" s="1" t="s">
        <v>8</v>
      </c>
      <c r="J46" s="1">
        <f>C59*H6</f>
        <v>0</v>
      </c>
      <c r="L46" s="1" t="s">
        <v>8</v>
      </c>
      <c r="M46" s="1">
        <f>H77*H13</f>
        <v>0</v>
      </c>
      <c r="O46" s="1">
        <f t="shared" si="5"/>
        <v>0</v>
      </c>
      <c r="P46" s="1">
        <f t="shared" si="6"/>
        <v>0</v>
      </c>
      <c r="Q46" s="1">
        <f t="shared" si="7"/>
        <v>0</v>
      </c>
      <c r="R46" s="1">
        <f t="shared" si="8"/>
        <v>0</v>
      </c>
    </row>
    <row r="47" spans="1:18" hidden="1">
      <c r="B47" s="1" t="s">
        <v>10</v>
      </c>
      <c r="C47" s="15">
        <v>42</v>
      </c>
      <c r="D47" s="15">
        <v>52</v>
      </c>
      <c r="E47" s="15">
        <v>58</v>
      </c>
      <c r="F47" s="15">
        <v>42</v>
      </c>
      <c r="G47" s="15">
        <v>26</v>
      </c>
      <c r="I47" s="1" t="s">
        <v>10</v>
      </c>
      <c r="J47" s="1">
        <f>C60*I6</f>
        <v>0</v>
      </c>
      <c r="L47" s="1" t="s">
        <v>10</v>
      </c>
      <c r="M47" s="1">
        <f>H78*I13</f>
        <v>11474.534405018625</v>
      </c>
      <c r="O47" s="1">
        <f t="shared" si="5"/>
        <v>10400</v>
      </c>
      <c r="P47" s="1">
        <f t="shared" si="6"/>
        <v>11600</v>
      </c>
      <c r="Q47" s="1">
        <f t="shared" si="7"/>
        <v>8400</v>
      </c>
      <c r="R47" s="1">
        <f t="shared" si="8"/>
        <v>5200</v>
      </c>
    </row>
    <row r="48" spans="1:18" hidden="1">
      <c r="B48" s="1" t="s">
        <v>11</v>
      </c>
      <c r="C48" s="15">
        <v>105</v>
      </c>
      <c r="D48" s="15">
        <v>208</v>
      </c>
      <c r="E48" s="15">
        <v>145</v>
      </c>
      <c r="F48" s="15">
        <v>105</v>
      </c>
      <c r="G48" s="15">
        <v>65</v>
      </c>
      <c r="I48" s="1" t="s">
        <v>11</v>
      </c>
      <c r="J48" s="1">
        <f>C61*J6</f>
        <v>0</v>
      </c>
      <c r="L48" s="1" t="s">
        <v>11</v>
      </c>
      <c r="M48" s="1">
        <f>H79*J13</f>
        <v>143431.6800627328</v>
      </c>
      <c r="O48" s="1">
        <f t="shared" si="5"/>
        <v>208000</v>
      </c>
      <c r="P48" s="1">
        <f t="shared" si="6"/>
        <v>145000</v>
      </c>
      <c r="Q48" s="1">
        <f t="shared" si="7"/>
        <v>105000</v>
      </c>
      <c r="R48" s="1">
        <f t="shared" si="8"/>
        <v>65000</v>
      </c>
    </row>
    <row r="49" spans="1:18" hidden="1">
      <c r="B49" s="1" t="s">
        <v>13</v>
      </c>
      <c r="C49" s="15">
        <v>44</v>
      </c>
      <c r="D49" s="15">
        <v>54</v>
      </c>
      <c r="E49" s="15">
        <v>28</v>
      </c>
      <c r="F49" s="15">
        <v>60</v>
      </c>
      <c r="G49" s="15">
        <v>44</v>
      </c>
      <c r="I49" s="1" t="s">
        <v>13</v>
      </c>
      <c r="J49" s="1">
        <f>C62*K6</f>
        <v>4400</v>
      </c>
      <c r="L49" s="1" t="s">
        <v>13</v>
      </c>
      <c r="M49" s="1">
        <f>H80*K13</f>
        <v>849.40991962360329</v>
      </c>
      <c r="O49" s="1">
        <f t="shared" si="5"/>
        <v>1620</v>
      </c>
      <c r="P49" s="1">
        <f t="shared" si="6"/>
        <v>840</v>
      </c>
      <c r="Q49" s="1">
        <f t="shared" si="7"/>
        <v>1800</v>
      </c>
      <c r="R49" s="1">
        <f t="shared" si="8"/>
        <v>1320</v>
      </c>
    </row>
    <row r="50" spans="1:18" hidden="1">
      <c r="B50" s="1" t="s">
        <v>14</v>
      </c>
      <c r="C50" s="15">
        <v>110</v>
      </c>
      <c r="D50" s="15">
        <v>216</v>
      </c>
      <c r="E50" s="15">
        <v>70</v>
      </c>
      <c r="F50" s="15">
        <v>150</v>
      </c>
      <c r="G50" s="15">
        <v>110</v>
      </c>
      <c r="I50" s="1" t="s">
        <v>14</v>
      </c>
      <c r="J50" s="1">
        <f>C63*L6</f>
        <v>0</v>
      </c>
      <c r="L50" s="1" t="s">
        <v>14</v>
      </c>
      <c r="M50" s="1">
        <f>H81*L13</f>
        <v>0</v>
      </c>
      <c r="O50" s="1">
        <f t="shared" si="5"/>
        <v>0</v>
      </c>
      <c r="P50" s="1">
        <f t="shared" si="6"/>
        <v>0</v>
      </c>
      <c r="Q50" s="1">
        <f t="shared" si="7"/>
        <v>0</v>
      </c>
      <c r="R50" s="1">
        <f t="shared" si="8"/>
        <v>0</v>
      </c>
    </row>
    <row r="51" spans="1:18" hidden="1">
      <c r="B51" s="1" t="s">
        <v>15</v>
      </c>
      <c r="C51" s="15">
        <v>0</v>
      </c>
      <c r="D51" s="15">
        <v>30</v>
      </c>
      <c r="E51" s="15">
        <v>10</v>
      </c>
      <c r="F51" s="15">
        <v>40</v>
      </c>
      <c r="G51" s="15">
        <v>20</v>
      </c>
      <c r="I51" s="1" t="s">
        <v>15</v>
      </c>
      <c r="J51" s="1">
        <f>C64*M6</f>
        <v>0</v>
      </c>
      <c r="L51" s="1" t="s">
        <v>15</v>
      </c>
      <c r="M51" s="1">
        <f>M13</f>
        <v>0</v>
      </c>
      <c r="O51" s="1">
        <f t="shared" si="5"/>
        <v>0</v>
      </c>
      <c r="P51" s="1">
        <f t="shared" si="6"/>
        <v>0</v>
      </c>
      <c r="Q51" s="1">
        <f t="shared" si="7"/>
        <v>0</v>
      </c>
      <c r="R51" s="1">
        <f t="shared" si="8"/>
        <v>0</v>
      </c>
    </row>
    <row r="52" spans="1:18" hidden="1">
      <c r="I52" s="15" t="s">
        <v>44</v>
      </c>
      <c r="J52" s="15">
        <f>SUM(J41:J51)+C18*(1+F19)*C20/100</f>
        <v>204400</v>
      </c>
      <c r="L52" s="15" t="s">
        <v>51</v>
      </c>
      <c r="M52" s="15">
        <f>SUM(M41:M51)</f>
        <v>206049.68437561262</v>
      </c>
      <c r="O52" s="15">
        <f>SUM(O41:O51)</f>
        <v>285020</v>
      </c>
      <c r="P52" s="15">
        <f t="shared" ref="P52:R52" si="9">SUM(P41:P51)</f>
        <v>207440</v>
      </c>
      <c r="Q52" s="15">
        <f t="shared" si="9"/>
        <v>150200</v>
      </c>
      <c r="R52" s="15">
        <f t="shared" si="9"/>
        <v>136520</v>
      </c>
    </row>
    <row r="53" spans="1:18" hidden="1">
      <c r="A53" t="s">
        <v>63</v>
      </c>
      <c r="C53" s="12" t="s">
        <v>36</v>
      </c>
      <c r="D53" s="12" t="s">
        <v>40</v>
      </c>
      <c r="I53" s="13" t="s">
        <v>52</v>
      </c>
      <c r="J53" s="13">
        <f>IF(C21="あり",J52*1.1,J52)</f>
        <v>204400</v>
      </c>
      <c r="L53" s="15" t="s">
        <v>54</v>
      </c>
      <c r="M53" s="1">
        <f>M52*(1+J18)</f>
        <v>206049.68437561262</v>
      </c>
    </row>
    <row r="54" spans="1:18" hidden="1">
      <c r="A54">
        <f>C13</f>
        <v>1000</v>
      </c>
      <c r="B54" s="1" t="s">
        <v>2</v>
      </c>
      <c r="C54" s="13">
        <f>C41*(1+F20+F26)</f>
        <v>15</v>
      </c>
      <c r="D54" s="15">
        <f>D41*(1+$M$20+$M$26)</f>
        <v>15</v>
      </c>
      <c r="E54" s="15">
        <f t="shared" ref="E54:G54" si="10">E41*(1+$M$20+$M$26)</f>
        <v>10</v>
      </c>
      <c r="F54" s="15">
        <f t="shared" si="10"/>
        <v>10</v>
      </c>
      <c r="G54" s="15">
        <f t="shared" si="10"/>
        <v>10</v>
      </c>
      <c r="L54" s="17" t="s">
        <v>52</v>
      </c>
      <c r="M54" s="17">
        <f>IF(J19="あり",M53*1.1,M53)</f>
        <v>206049.68437561262</v>
      </c>
    </row>
    <row r="55" spans="1:18" hidden="1">
      <c r="A55">
        <f>D13</f>
        <v>0</v>
      </c>
      <c r="B55" s="1" t="s">
        <v>3</v>
      </c>
      <c r="C55" s="13">
        <f>C42*(1+F27+F24)</f>
        <v>15</v>
      </c>
      <c r="D55" s="15">
        <f>D42*(1+$M$24+$M$27)</f>
        <v>10</v>
      </c>
      <c r="E55" s="15">
        <f t="shared" ref="E55:G55" si="11">E42*(1+$M$24+$M$27)</f>
        <v>10</v>
      </c>
      <c r="F55" s="15">
        <f t="shared" si="11"/>
        <v>10</v>
      </c>
      <c r="G55" s="15">
        <f t="shared" si="11"/>
        <v>10</v>
      </c>
    </row>
    <row r="56" spans="1:18" hidden="1">
      <c r="A56">
        <f>E13</f>
        <v>0</v>
      </c>
      <c r="B56" s="1" t="s">
        <v>4</v>
      </c>
      <c r="C56" s="13">
        <f>C43*(1+F28+F24)</f>
        <v>30</v>
      </c>
      <c r="D56" s="15">
        <f>D43*(1+$M$24+$M$28)</f>
        <v>15</v>
      </c>
      <c r="E56" s="15">
        <f t="shared" ref="E56:G56" si="12">E43*(1+$M$24+$M$28)</f>
        <v>15</v>
      </c>
      <c r="F56" s="15">
        <f t="shared" si="12"/>
        <v>15</v>
      </c>
      <c r="G56" s="15">
        <f t="shared" si="12"/>
        <v>15</v>
      </c>
    </row>
    <row r="57" spans="1:18" hidden="1">
      <c r="A57">
        <f>F13</f>
        <v>0</v>
      </c>
      <c r="B57" s="1" t="s">
        <v>5</v>
      </c>
      <c r="C57" s="13">
        <v>0</v>
      </c>
      <c r="D57" s="15">
        <f>D44</f>
        <v>10</v>
      </c>
      <c r="E57" s="15">
        <f t="shared" ref="E57:G57" si="13">E44</f>
        <v>10</v>
      </c>
      <c r="F57" s="15">
        <f t="shared" si="13"/>
        <v>5</v>
      </c>
      <c r="G57" s="15">
        <f t="shared" si="13"/>
        <v>5</v>
      </c>
      <c r="I57" t="s">
        <v>55</v>
      </c>
    </row>
    <row r="58" spans="1:18" hidden="1">
      <c r="A58">
        <f>G13</f>
        <v>1000</v>
      </c>
      <c r="B58" s="1" t="s">
        <v>7</v>
      </c>
      <c r="C58" s="13">
        <f>C45*(F21+F29+1)</f>
        <v>40</v>
      </c>
      <c r="D58" s="15">
        <f>D45*(1+$M$21+$M$29)</f>
        <v>50</v>
      </c>
      <c r="E58" s="15">
        <f t="shared" ref="E58:G58" si="14">E45*(1+$M$21+$M$29)</f>
        <v>40</v>
      </c>
      <c r="F58" s="15">
        <f t="shared" si="14"/>
        <v>25</v>
      </c>
      <c r="G58" s="15">
        <f t="shared" si="14"/>
        <v>55</v>
      </c>
      <c r="I58" t="s">
        <v>56</v>
      </c>
      <c r="J58">
        <f>M54/J53</f>
        <v>1.0080708628943866</v>
      </c>
      <c r="K58">
        <f>LOG10(J58)</f>
        <v>3.4910621514637401E-3</v>
      </c>
    </row>
    <row r="59" spans="1:18" hidden="1">
      <c r="A59">
        <f>H13</f>
        <v>0</v>
      </c>
      <c r="B59" s="1" t="s">
        <v>8</v>
      </c>
      <c r="C59" s="13">
        <f>C46*(1+F21+F30)</f>
        <v>100</v>
      </c>
      <c r="D59" s="15">
        <f>D46*(1+$M$21+$M$30)</f>
        <v>200</v>
      </c>
      <c r="E59" s="15">
        <f t="shared" ref="E59:G59" si="15">E46*(1+$M$21+$M$30)</f>
        <v>100</v>
      </c>
      <c r="F59" s="15">
        <f t="shared" si="15"/>
        <v>63</v>
      </c>
      <c r="G59" s="15">
        <f t="shared" si="15"/>
        <v>137</v>
      </c>
      <c r="I59" t="s">
        <v>57</v>
      </c>
      <c r="J59">
        <f>1/(1+EXP(-1*3.453878*$K$58))</f>
        <v>0.50301438916909824</v>
      </c>
      <c r="K59">
        <f>1-J59</f>
        <v>0.49698561083090176</v>
      </c>
    </row>
    <row r="60" spans="1:18" hidden="1">
      <c r="A60">
        <f>I13</f>
        <v>200</v>
      </c>
      <c r="B60" s="1" t="s">
        <v>10</v>
      </c>
      <c r="C60" s="13">
        <f>C47*(1+F22+F31)</f>
        <v>42</v>
      </c>
      <c r="D60" s="15">
        <f>D47*(1+$M$22+$M$31)</f>
        <v>52</v>
      </c>
      <c r="E60" s="15">
        <f t="shared" ref="E60:G60" si="16">E47*(1+$M$22+$M$31)</f>
        <v>58</v>
      </c>
      <c r="F60" s="15">
        <f t="shared" si="16"/>
        <v>42</v>
      </c>
      <c r="G60" s="15">
        <f t="shared" si="16"/>
        <v>26</v>
      </c>
      <c r="I60" s="1"/>
      <c r="J60" s="1" t="s">
        <v>0</v>
      </c>
      <c r="K60" s="1" t="s">
        <v>43</v>
      </c>
    </row>
    <row r="61" spans="1:18" hidden="1">
      <c r="A61">
        <f>J13</f>
        <v>1000</v>
      </c>
      <c r="B61" s="1" t="s">
        <v>11</v>
      </c>
      <c r="C61" s="13">
        <f>C48*(1+F22+F32)</f>
        <v>105</v>
      </c>
      <c r="D61" s="15">
        <f>D48*(1+$M$22+$M$32)</f>
        <v>208</v>
      </c>
      <c r="E61" s="15">
        <f t="shared" ref="E61:G61" si="17">E48*(1+$M$22+$M$32)</f>
        <v>145</v>
      </c>
      <c r="F61" s="15">
        <f t="shared" si="17"/>
        <v>105</v>
      </c>
      <c r="G61" s="15">
        <f t="shared" si="17"/>
        <v>65</v>
      </c>
      <c r="I61" s="1" t="s">
        <v>58</v>
      </c>
      <c r="J61" s="13">
        <f>J59</f>
        <v>0.50301438916909824</v>
      </c>
      <c r="K61" s="17">
        <f>K59</f>
        <v>0.49698561083090176</v>
      </c>
    </row>
    <row r="62" spans="1:18" hidden="1">
      <c r="A62">
        <f>K13</f>
        <v>30</v>
      </c>
      <c r="B62" s="1" t="s">
        <v>13</v>
      </c>
      <c r="C62" s="13">
        <f>C49*(1+F23+F33)</f>
        <v>44</v>
      </c>
      <c r="D62" s="15">
        <f>D49*(1+$M$23+$M$33)</f>
        <v>54</v>
      </c>
      <c r="E62" s="15">
        <f t="shared" ref="E62:G62" si="18">E49*(1+$M$23+$M$33)</f>
        <v>28</v>
      </c>
      <c r="F62" s="15">
        <f t="shared" si="18"/>
        <v>60</v>
      </c>
      <c r="G62" s="15">
        <f t="shared" si="18"/>
        <v>44</v>
      </c>
      <c r="I62" s="15" t="s">
        <v>17</v>
      </c>
      <c r="J62" s="1">
        <f>SUM(C6:M6)</f>
        <v>5100</v>
      </c>
      <c r="K62" s="1">
        <f>SUM(C13:M13)</f>
        <v>3230</v>
      </c>
    </row>
    <row r="63" spans="1:18" hidden="1">
      <c r="A63">
        <f>L13</f>
        <v>0</v>
      </c>
      <c r="B63" s="1" t="s">
        <v>14</v>
      </c>
      <c r="C63" s="13">
        <f>C50*(1+F23+F34)</f>
        <v>110</v>
      </c>
      <c r="D63" s="15">
        <f>D50*(1+$M$23+$M$34)</f>
        <v>216</v>
      </c>
      <c r="E63" s="15">
        <f t="shared" ref="E63:G63" si="19">E50*(1+$M$23+$M$34)</f>
        <v>70</v>
      </c>
      <c r="F63" s="15">
        <f t="shared" si="19"/>
        <v>150</v>
      </c>
      <c r="G63" s="15">
        <f t="shared" si="19"/>
        <v>110</v>
      </c>
      <c r="I63" s="15" t="s">
        <v>18</v>
      </c>
      <c r="J63" s="13">
        <f>ROUNDDOWN(J62*J61,0)</f>
        <v>2565</v>
      </c>
      <c r="K63" s="17">
        <f>K62*K61</f>
        <v>1605.2635229838127</v>
      </c>
    </row>
    <row r="64" spans="1:18" hidden="1">
      <c r="A64">
        <f>M13</f>
        <v>0</v>
      </c>
      <c r="B64" s="1" t="s">
        <v>15</v>
      </c>
      <c r="C64" s="13">
        <f>C51</f>
        <v>0</v>
      </c>
      <c r="D64" s="15">
        <f>D51*(1+$M$23)</f>
        <v>30</v>
      </c>
      <c r="E64" s="15">
        <f t="shared" ref="E64:G64" si="20">E51*(1+$M$23)</f>
        <v>10</v>
      </c>
      <c r="F64" s="15">
        <f t="shared" si="20"/>
        <v>40</v>
      </c>
      <c r="G64" s="15">
        <f t="shared" si="20"/>
        <v>20</v>
      </c>
    </row>
    <row r="65" spans="3:20" hidden="1"/>
    <row r="66" spans="3:20" hidden="1">
      <c r="C66" s="18" t="s">
        <v>45</v>
      </c>
      <c r="D66" s="1" t="s">
        <v>1</v>
      </c>
      <c r="E66" s="1" t="s">
        <v>6</v>
      </c>
      <c r="F66" s="1" t="s">
        <v>9</v>
      </c>
      <c r="G66" s="1" t="s">
        <v>12</v>
      </c>
      <c r="I66" s="18" t="s">
        <v>59</v>
      </c>
      <c r="J66" s="1" t="s">
        <v>1</v>
      </c>
      <c r="K66" s="1" t="s">
        <v>6</v>
      </c>
      <c r="L66" s="1" t="s">
        <v>9</v>
      </c>
      <c r="M66" s="1" t="s">
        <v>12</v>
      </c>
      <c r="N66" s="15" t="s">
        <v>48</v>
      </c>
    </row>
    <row r="67" spans="3:20" hidden="1">
      <c r="C67" s="19" t="s">
        <v>45</v>
      </c>
      <c r="D67" s="1">
        <f>SUM(C6:F6)</f>
        <v>0</v>
      </c>
      <c r="E67" s="1">
        <f>SUM(G6:H6)</f>
        <v>5000</v>
      </c>
      <c r="F67" s="1">
        <f>SUM(I6:J6)</f>
        <v>0</v>
      </c>
      <c r="G67" s="1">
        <f>SUM(K6:M6)</f>
        <v>100</v>
      </c>
      <c r="I67" s="1"/>
      <c r="J67" s="1">
        <f>SUM(C13:F13)</f>
        <v>1000</v>
      </c>
      <c r="K67" s="1">
        <f>SUM(G13:H13)</f>
        <v>1000</v>
      </c>
      <c r="L67" s="1">
        <f>SUM(I13:J13)</f>
        <v>1200</v>
      </c>
      <c r="M67" s="1">
        <f>SUM(K13:M13)</f>
        <v>30</v>
      </c>
      <c r="N67" s="1">
        <f>SUM(J67:M67)</f>
        <v>3230</v>
      </c>
    </row>
    <row r="68" spans="3:20" hidden="1">
      <c r="C68" s="1" t="s">
        <v>46</v>
      </c>
      <c r="D68" s="1">
        <f>IF($C$19="歩兵",1,0)</f>
        <v>0</v>
      </c>
      <c r="E68" s="1">
        <f t="shared" ref="E68" si="21">IF($C$19="槍",1,0)</f>
        <v>1</v>
      </c>
      <c r="F68" s="1">
        <f>IF($C$19="弓",1,0)</f>
        <v>0</v>
      </c>
      <c r="G68" s="1">
        <f>IF($C$19="馬",1,0)</f>
        <v>0</v>
      </c>
      <c r="H68" t="s">
        <v>48</v>
      </c>
    </row>
    <row r="69" spans="3:20" hidden="1">
      <c r="C69" s="1" t="s">
        <v>47</v>
      </c>
      <c r="D69" s="1">
        <f>SUM(D67:D68)</f>
        <v>0</v>
      </c>
      <c r="E69" s="1">
        <f t="shared" ref="E69:F69" si="22">SUM(E67:E68)</f>
        <v>5001</v>
      </c>
      <c r="F69" s="1">
        <f t="shared" si="22"/>
        <v>0</v>
      </c>
      <c r="G69" s="1">
        <f>SUM(G67:G68)</f>
        <v>100</v>
      </c>
      <c r="H69" s="15">
        <f>SUM(D69:G69)</f>
        <v>5101</v>
      </c>
    </row>
    <row r="70" spans="3:20" hidden="1">
      <c r="J70" s="27">
        <v>15</v>
      </c>
      <c r="K70" s="1">
        <v>10</v>
      </c>
      <c r="L70" s="1">
        <v>15</v>
      </c>
      <c r="M70" s="1">
        <v>10</v>
      </c>
      <c r="N70" s="1">
        <v>50</v>
      </c>
      <c r="O70" s="1">
        <v>200</v>
      </c>
      <c r="P70" s="1">
        <v>52</v>
      </c>
      <c r="Q70" s="1">
        <v>208</v>
      </c>
      <c r="R70" s="1">
        <v>54</v>
      </c>
      <c r="S70" s="1">
        <v>216</v>
      </c>
      <c r="T70" s="1">
        <v>30</v>
      </c>
    </row>
    <row r="71" spans="3:20" hidden="1">
      <c r="C71" s="41" t="s">
        <v>49</v>
      </c>
      <c r="D71" s="41"/>
      <c r="J71" s="1">
        <v>10</v>
      </c>
      <c r="K71" s="1">
        <v>10</v>
      </c>
      <c r="L71" s="1">
        <v>15</v>
      </c>
      <c r="M71" s="1">
        <v>10</v>
      </c>
      <c r="N71" s="1">
        <v>40</v>
      </c>
      <c r="O71" s="1">
        <v>100</v>
      </c>
      <c r="P71" s="1">
        <v>58</v>
      </c>
      <c r="Q71" s="1">
        <v>145</v>
      </c>
      <c r="R71" s="1">
        <v>28</v>
      </c>
      <c r="S71" s="1">
        <v>70</v>
      </c>
      <c r="T71" s="1">
        <v>10</v>
      </c>
    </row>
    <row r="72" spans="3:20" hidden="1">
      <c r="C72" s="1" t="s">
        <v>2</v>
      </c>
      <c r="D72" s="1">
        <f>D54*$D$69/$H$69</f>
        <v>0</v>
      </c>
      <c r="E72" s="1">
        <f>E54*$E$69/$H$69</f>
        <v>9.8039600078415994</v>
      </c>
      <c r="F72" s="1">
        <f>F54*$F$69/$H$69</f>
        <v>0</v>
      </c>
      <c r="G72" s="1">
        <f>G54*$G$69/$H$69</f>
        <v>0.19603999215840032</v>
      </c>
      <c r="H72" s="17">
        <f>SUM(D72:G72)</f>
        <v>10</v>
      </c>
      <c r="J72" s="1">
        <v>10</v>
      </c>
      <c r="K72" s="1">
        <v>10</v>
      </c>
      <c r="L72" s="1">
        <v>15</v>
      </c>
      <c r="M72" s="1">
        <v>5</v>
      </c>
      <c r="N72" s="1">
        <v>25</v>
      </c>
      <c r="O72" s="1">
        <v>63</v>
      </c>
      <c r="P72" s="1">
        <v>42</v>
      </c>
      <c r="Q72" s="1">
        <v>105</v>
      </c>
      <c r="R72" s="1">
        <v>60</v>
      </c>
      <c r="S72" s="1">
        <v>150</v>
      </c>
      <c r="T72" s="1">
        <v>40</v>
      </c>
    </row>
    <row r="73" spans="3:20" hidden="1">
      <c r="C73" s="1" t="s">
        <v>3</v>
      </c>
      <c r="D73" s="1">
        <f t="shared" ref="D73:D82" si="23">D55*$D$69/$H$69</f>
        <v>0</v>
      </c>
      <c r="E73" s="1">
        <f t="shared" ref="E73:E82" si="24">E55*$E$69/$H$69</f>
        <v>9.8039600078415994</v>
      </c>
      <c r="F73" s="1">
        <f t="shared" ref="F73:F82" si="25">F55*$F$69/$H$69</f>
        <v>0</v>
      </c>
      <c r="G73" s="1">
        <f t="shared" ref="G73:G82" si="26">G55*$G$69/$H$69</f>
        <v>0.19603999215840032</v>
      </c>
      <c r="H73" s="17">
        <f t="shared" ref="H73:H82" si="27">SUM(D73:G73)</f>
        <v>10</v>
      </c>
      <c r="J73" s="1">
        <v>10</v>
      </c>
      <c r="K73" s="1">
        <v>10</v>
      </c>
      <c r="L73" s="1">
        <v>15</v>
      </c>
      <c r="M73" s="1">
        <v>5</v>
      </c>
      <c r="N73" s="1">
        <v>55</v>
      </c>
      <c r="O73" s="1">
        <v>137</v>
      </c>
      <c r="P73" s="1">
        <v>26</v>
      </c>
      <c r="Q73" s="1">
        <v>65</v>
      </c>
      <c r="R73" s="1">
        <v>44</v>
      </c>
      <c r="S73" s="1">
        <v>110</v>
      </c>
      <c r="T73" s="1">
        <v>20</v>
      </c>
    </row>
    <row r="74" spans="3:20" hidden="1">
      <c r="C74" s="1" t="s">
        <v>4</v>
      </c>
      <c r="D74" s="1">
        <f t="shared" si="23"/>
        <v>0</v>
      </c>
      <c r="E74" s="1">
        <f t="shared" si="24"/>
        <v>14.705940011762399</v>
      </c>
      <c r="F74" s="1">
        <f t="shared" si="25"/>
        <v>0</v>
      </c>
      <c r="G74" s="1">
        <f t="shared" si="26"/>
        <v>0.29405998823760049</v>
      </c>
      <c r="H74" s="17">
        <f t="shared" si="27"/>
        <v>15</v>
      </c>
      <c r="J74" s="1">
        <f>J70*C$6</f>
        <v>0</v>
      </c>
      <c r="K74" s="1">
        <f t="shared" ref="K74:T77" si="28">K70*D$6</f>
        <v>0</v>
      </c>
      <c r="L74" s="1">
        <f t="shared" si="28"/>
        <v>0</v>
      </c>
      <c r="M74" s="1">
        <f t="shared" si="28"/>
        <v>0</v>
      </c>
      <c r="N74" s="1">
        <f t="shared" si="28"/>
        <v>250000</v>
      </c>
      <c r="O74" s="1">
        <f t="shared" si="28"/>
        <v>0</v>
      </c>
      <c r="P74" s="1">
        <f t="shared" si="28"/>
        <v>0</v>
      </c>
      <c r="Q74" s="1">
        <f t="shared" si="28"/>
        <v>0</v>
      </c>
      <c r="R74" s="1">
        <f t="shared" si="28"/>
        <v>5400</v>
      </c>
      <c r="S74" s="1">
        <f t="shared" si="28"/>
        <v>0</v>
      </c>
      <c r="T74" s="1">
        <f t="shared" si="28"/>
        <v>0</v>
      </c>
    </row>
    <row r="75" spans="3:20" hidden="1">
      <c r="C75" s="1" t="s">
        <v>5</v>
      </c>
      <c r="D75" s="1">
        <f t="shared" si="23"/>
        <v>0</v>
      </c>
      <c r="E75" s="1">
        <f t="shared" si="24"/>
        <v>9.8039600078415994</v>
      </c>
      <c r="F75" s="1">
        <f t="shared" si="25"/>
        <v>0</v>
      </c>
      <c r="G75" s="1">
        <f t="shared" si="26"/>
        <v>9.8019996079200158E-2</v>
      </c>
      <c r="H75" s="17">
        <f t="shared" si="27"/>
        <v>9.9019800039207997</v>
      </c>
      <c r="J75" s="1">
        <f t="shared" ref="J75:J77" si="29">J71*C$6</f>
        <v>0</v>
      </c>
      <c r="K75" s="1">
        <f t="shared" si="28"/>
        <v>0</v>
      </c>
      <c r="L75" s="1">
        <f t="shared" si="28"/>
        <v>0</v>
      </c>
      <c r="M75" s="1">
        <f t="shared" si="28"/>
        <v>0</v>
      </c>
      <c r="N75" s="1">
        <f t="shared" si="28"/>
        <v>200000</v>
      </c>
      <c r="O75" s="1">
        <f t="shared" si="28"/>
        <v>0</v>
      </c>
      <c r="P75" s="1">
        <f t="shared" si="28"/>
        <v>0</v>
      </c>
      <c r="Q75" s="1">
        <f t="shared" si="28"/>
        <v>0</v>
      </c>
      <c r="R75" s="1">
        <f t="shared" si="28"/>
        <v>2800</v>
      </c>
      <c r="S75" s="1">
        <f t="shared" si="28"/>
        <v>0</v>
      </c>
      <c r="T75" s="1">
        <f t="shared" si="28"/>
        <v>0</v>
      </c>
    </row>
    <row r="76" spans="3:20" hidden="1">
      <c r="C76" s="1" t="s">
        <v>7</v>
      </c>
      <c r="D76" s="1">
        <f t="shared" si="23"/>
        <v>0</v>
      </c>
      <c r="E76" s="1">
        <f t="shared" si="24"/>
        <v>39.215840031366398</v>
      </c>
      <c r="F76" s="1">
        <f t="shared" si="25"/>
        <v>0</v>
      </c>
      <c r="G76" s="1">
        <f t="shared" si="26"/>
        <v>1.0782199568712016</v>
      </c>
      <c r="H76" s="17">
        <f t="shared" si="27"/>
        <v>40.294059988237599</v>
      </c>
      <c r="J76" s="1">
        <f t="shared" si="29"/>
        <v>0</v>
      </c>
      <c r="K76" s="1">
        <f t="shared" si="28"/>
        <v>0</v>
      </c>
      <c r="L76" s="1">
        <f t="shared" si="28"/>
        <v>0</v>
      </c>
      <c r="M76" s="1">
        <f t="shared" si="28"/>
        <v>0</v>
      </c>
      <c r="N76" s="1">
        <f t="shared" si="28"/>
        <v>125000</v>
      </c>
      <c r="O76" s="1">
        <f t="shared" si="28"/>
        <v>0</v>
      </c>
      <c r="P76" s="1">
        <f t="shared" si="28"/>
        <v>0</v>
      </c>
      <c r="Q76" s="1">
        <f t="shared" si="28"/>
        <v>0</v>
      </c>
      <c r="R76" s="1">
        <f t="shared" si="28"/>
        <v>6000</v>
      </c>
      <c r="S76" s="1">
        <f t="shared" si="28"/>
        <v>0</v>
      </c>
      <c r="T76" s="1">
        <f t="shared" si="28"/>
        <v>0</v>
      </c>
    </row>
    <row r="77" spans="3:20" hidden="1">
      <c r="C77" s="1" t="s">
        <v>8</v>
      </c>
      <c r="D77" s="1">
        <f t="shared" si="23"/>
        <v>0</v>
      </c>
      <c r="E77" s="1">
        <f t="shared" si="24"/>
        <v>98.039600078416001</v>
      </c>
      <c r="F77" s="1">
        <f t="shared" si="25"/>
        <v>0</v>
      </c>
      <c r="G77" s="1">
        <f t="shared" si="26"/>
        <v>2.6857478925700842</v>
      </c>
      <c r="H77" s="17">
        <f t="shared" si="27"/>
        <v>100.72534797098608</v>
      </c>
      <c r="J77" s="1">
        <f t="shared" si="29"/>
        <v>0</v>
      </c>
      <c r="K77" s="1">
        <f t="shared" si="28"/>
        <v>0</v>
      </c>
      <c r="L77" s="1">
        <f t="shared" si="28"/>
        <v>0</v>
      </c>
      <c r="M77" s="1">
        <f t="shared" si="28"/>
        <v>0</v>
      </c>
      <c r="N77" s="1">
        <f t="shared" si="28"/>
        <v>275000</v>
      </c>
      <c r="O77" s="1">
        <f t="shared" si="28"/>
        <v>0</v>
      </c>
      <c r="P77" s="1">
        <f t="shared" si="28"/>
        <v>0</v>
      </c>
      <c r="Q77" s="1">
        <f t="shared" si="28"/>
        <v>0</v>
      </c>
      <c r="R77" s="1">
        <f t="shared" si="28"/>
        <v>4400</v>
      </c>
      <c r="S77" s="1">
        <f t="shared" si="28"/>
        <v>0</v>
      </c>
      <c r="T77" s="1">
        <f t="shared" si="28"/>
        <v>0</v>
      </c>
    </row>
    <row r="78" spans="3:20" hidden="1">
      <c r="C78" s="1" t="s">
        <v>10</v>
      </c>
      <c r="D78" s="1">
        <f t="shared" si="23"/>
        <v>0</v>
      </c>
      <c r="E78" s="1">
        <f t="shared" si="24"/>
        <v>56.862968045481281</v>
      </c>
      <c r="F78" s="1">
        <f t="shared" si="25"/>
        <v>0</v>
      </c>
      <c r="G78" s="1">
        <f t="shared" si="26"/>
        <v>0.50970397961184077</v>
      </c>
      <c r="H78" s="17">
        <f t="shared" si="27"/>
        <v>57.372672025093124</v>
      </c>
    </row>
    <row r="79" spans="3:20" hidden="1">
      <c r="C79" s="1" t="s">
        <v>11</v>
      </c>
      <c r="D79" s="1">
        <f t="shared" si="23"/>
        <v>0</v>
      </c>
      <c r="E79" s="1">
        <f t="shared" si="24"/>
        <v>142.15742011370318</v>
      </c>
      <c r="F79" s="1">
        <f t="shared" si="25"/>
        <v>0</v>
      </c>
      <c r="G79" s="1">
        <f t="shared" si="26"/>
        <v>1.274259949029602</v>
      </c>
      <c r="H79" s="17">
        <f t="shared" si="27"/>
        <v>143.4316800627328</v>
      </c>
    </row>
    <row r="80" spans="3:20" hidden="1">
      <c r="C80" s="1" t="s">
        <v>13</v>
      </c>
      <c r="D80" s="1">
        <f t="shared" si="23"/>
        <v>0</v>
      </c>
      <c r="E80" s="1">
        <f t="shared" si="24"/>
        <v>27.45108802195648</v>
      </c>
      <c r="F80" s="1">
        <f t="shared" si="25"/>
        <v>0</v>
      </c>
      <c r="G80" s="1">
        <f t="shared" si="26"/>
        <v>0.86257596549696136</v>
      </c>
      <c r="H80" s="17">
        <f t="shared" si="27"/>
        <v>28.313663987453442</v>
      </c>
    </row>
    <row r="81" spans="2:14" hidden="1">
      <c r="C81" s="1" t="s">
        <v>14</v>
      </c>
      <c r="D81" s="1">
        <f t="shared" si="23"/>
        <v>0</v>
      </c>
      <c r="E81" s="1">
        <f t="shared" si="24"/>
        <v>68.627720054891199</v>
      </c>
      <c r="F81" s="1">
        <f t="shared" si="25"/>
        <v>0</v>
      </c>
      <c r="G81" s="1">
        <f t="shared" si="26"/>
        <v>2.1564399137424033</v>
      </c>
      <c r="H81" s="17">
        <f t="shared" si="27"/>
        <v>70.784159968633602</v>
      </c>
    </row>
    <row r="82" spans="2:14" hidden="1">
      <c r="C82" s="1" t="s">
        <v>15</v>
      </c>
      <c r="D82" s="1">
        <f t="shared" si="23"/>
        <v>0</v>
      </c>
      <c r="E82" s="1">
        <f t="shared" si="24"/>
        <v>9.8039600078415994</v>
      </c>
      <c r="F82" s="1">
        <f t="shared" si="25"/>
        <v>0</v>
      </c>
      <c r="G82" s="1">
        <f t="shared" si="26"/>
        <v>0.39207998431680063</v>
      </c>
      <c r="H82" s="17">
        <f t="shared" si="27"/>
        <v>10.196039992158401</v>
      </c>
    </row>
    <row r="83" spans="2:14" hidden="1">
      <c r="C83" s="8"/>
      <c r="D83" s="8"/>
      <c r="E83" s="8"/>
      <c r="F83" s="8"/>
      <c r="G83" s="8"/>
      <c r="H83" s="30"/>
    </row>
    <row r="84" spans="2:14" hidden="1"/>
    <row r="85" spans="2:14" hidden="1">
      <c r="C85" s="31" t="s">
        <v>60</v>
      </c>
      <c r="D85" s="1" t="s">
        <v>1</v>
      </c>
      <c r="E85" s="1" t="s">
        <v>6</v>
      </c>
      <c r="F85" s="1" t="s">
        <v>9</v>
      </c>
      <c r="G85" s="1" t="s">
        <v>12</v>
      </c>
      <c r="H85" s="15" t="s">
        <v>47</v>
      </c>
      <c r="I85" s="29" t="s">
        <v>60</v>
      </c>
      <c r="J85" s="1" t="s">
        <v>1</v>
      </c>
      <c r="K85" s="1" t="s">
        <v>6</v>
      </c>
      <c r="L85" s="1" t="s">
        <v>9</v>
      </c>
      <c r="M85" s="1" t="s">
        <v>12</v>
      </c>
      <c r="N85" s="15" t="s">
        <v>47</v>
      </c>
    </row>
    <row r="86" spans="2:14" hidden="1">
      <c r="C86" s="1" t="s">
        <v>61</v>
      </c>
      <c r="D86" s="1">
        <f>O52</f>
        <v>285020</v>
      </c>
      <c r="E86" s="1">
        <f t="shared" ref="E86:G86" si="30">P52</f>
        <v>207440</v>
      </c>
      <c r="F86" s="1">
        <f t="shared" si="30"/>
        <v>150200</v>
      </c>
      <c r="G86" s="1">
        <f t="shared" si="30"/>
        <v>136520</v>
      </c>
      <c r="H86" s="1">
        <f>SUM(D86:G86)</f>
        <v>779180</v>
      </c>
      <c r="I86" s="1" t="s">
        <v>62</v>
      </c>
      <c r="J86" s="1">
        <f>SUM(J74:T74)</f>
        <v>255400</v>
      </c>
      <c r="K86" s="1">
        <f>SUM(J75:T75)</f>
        <v>202800</v>
      </c>
      <c r="L86" s="1">
        <f>SUM(J76:T76)</f>
        <v>131000</v>
      </c>
      <c r="M86" s="1">
        <f>SUM(J77:T77)</f>
        <v>279400</v>
      </c>
      <c r="N86" s="1">
        <f>SUM(J86:M86)</f>
        <v>868600</v>
      </c>
    </row>
    <row r="87" spans="2:14" hidden="1">
      <c r="C87" s="1"/>
      <c r="D87" s="1"/>
      <c r="E87" s="1">
        <f>E86/$H$86</f>
        <v>0.26622859929669651</v>
      </c>
      <c r="F87" s="1">
        <f t="shared" ref="F87:G87" si="31">F86/$H$86</f>
        <v>0.19276675479350086</v>
      </c>
      <c r="G87" s="1">
        <f t="shared" si="31"/>
        <v>0.17520983598141637</v>
      </c>
      <c r="H87" s="1"/>
      <c r="I87" s="1"/>
      <c r="J87" s="1"/>
      <c r="K87" s="1">
        <f>K86/$N$86</f>
        <v>0.23347916186967535</v>
      </c>
      <c r="L87" s="1">
        <f t="shared" ref="L87:M87" si="32">L86/$N$86</f>
        <v>0.15081740732212756</v>
      </c>
      <c r="M87" s="1">
        <f t="shared" si="32"/>
        <v>0.32166705042597282</v>
      </c>
      <c r="N87" s="1"/>
    </row>
    <row r="88" spans="2:14" hidden="1">
      <c r="B88" t="s">
        <v>73</v>
      </c>
    </row>
    <row r="89" spans="2:14" hidden="1">
      <c r="B89" s="1" t="s">
        <v>0</v>
      </c>
      <c r="C89" s="36" t="s">
        <v>1</v>
      </c>
      <c r="D89" s="36"/>
      <c r="E89" s="36"/>
      <c r="F89" s="36"/>
      <c r="G89" s="36" t="s">
        <v>6</v>
      </c>
      <c r="H89" s="36"/>
      <c r="I89" s="36" t="s">
        <v>9</v>
      </c>
      <c r="J89" s="36"/>
      <c r="K89" s="36" t="s">
        <v>12</v>
      </c>
      <c r="L89" s="36"/>
      <c r="M89" s="36"/>
    </row>
    <row r="90" spans="2:14" hidden="1">
      <c r="B90" s="1" t="s">
        <v>16</v>
      </c>
      <c r="C90" s="1" t="s">
        <v>2</v>
      </c>
      <c r="D90" s="1" t="s">
        <v>3</v>
      </c>
      <c r="E90" s="1" t="s">
        <v>4</v>
      </c>
      <c r="F90" s="1" t="s">
        <v>5</v>
      </c>
      <c r="G90" s="1" t="s">
        <v>7</v>
      </c>
      <c r="H90" s="1" t="s">
        <v>8</v>
      </c>
      <c r="I90" s="1" t="s">
        <v>10</v>
      </c>
      <c r="J90" s="1" t="s">
        <v>11</v>
      </c>
      <c r="K90" s="1" t="s">
        <v>13</v>
      </c>
      <c r="L90" s="1" t="s">
        <v>14</v>
      </c>
      <c r="M90" s="1" t="s">
        <v>15</v>
      </c>
    </row>
    <row r="91" spans="2:14" hidden="1">
      <c r="B91" s="1" t="s">
        <v>64</v>
      </c>
      <c r="C91" s="23">
        <f>IF(SUM($C$6:$F$6)=0,0,$J$86/$N$86*C6/SUM($C$6:$F$6))</f>
        <v>0</v>
      </c>
      <c r="D91" s="23">
        <f>IF(SUM($C$6:$F$6)=0,0,$J$86/$N$86*D6/SUM($C$6:$F$6))</f>
        <v>0</v>
      </c>
      <c r="E91" s="23">
        <f>IF(SUM($C$6:$F$6)=0,0,$J$86/$N$86*E6/SUM($C$6:$F$6))</f>
        <v>0</v>
      </c>
      <c r="F91" s="23">
        <f>IF(SUM($C$6:$F$6)=0,0,$J$86/$N$86*F6/SUM($C$6:$F$6))</f>
        <v>0</v>
      </c>
      <c r="G91" s="23">
        <f>IF(G6&lt;&gt;0,$K$86/$N$86*G6/($G$6+$H$6),0)</f>
        <v>0.23347916186967535</v>
      </c>
      <c r="H91" s="23">
        <f>IF(H6&lt;&gt;0,$K$86/$N$86*H6/($G$6+$H$6),0)</f>
        <v>0</v>
      </c>
      <c r="I91" s="23">
        <f>IF(I6&lt;&gt;0,$L$86/$N$86*I6/($I$6+$J$6),0)</f>
        <v>0</v>
      </c>
      <c r="J91" s="23">
        <f>IF(J6&lt;&gt;0,$L$86/$N$86*J6/($I$6+$J$6),0)</f>
        <v>0</v>
      </c>
      <c r="K91" s="23">
        <f>IF(K6&lt;&gt;0,$M$86/$N$86*K6/($K$6+$L$6+$M$6),0)</f>
        <v>0.32166705042597277</v>
      </c>
      <c r="L91" s="23">
        <f>IF(L6&lt;&gt;0,$M$86/$N$86*L6/($K$6+$L$6+$M$6),0)</f>
        <v>0</v>
      </c>
      <c r="M91" s="23">
        <f>IF(M6&lt;&gt;0,$K$86/$N$86*M6/($K$6+$L$6+$M$6),0)</f>
        <v>0</v>
      </c>
      <c r="N91" s="24">
        <f>SUM(C91:M91)</f>
        <v>0.55514621229564809</v>
      </c>
    </row>
    <row r="92" spans="2:14" hidden="1">
      <c r="B92" s="15" t="s">
        <v>18</v>
      </c>
      <c r="C92" s="1">
        <f>IF(C6=0,0,ROUND(C91*$J$63/$N$91,0))</f>
        <v>0</v>
      </c>
      <c r="D92" s="1">
        <f t="shared" ref="D92:F92" si="33">IF(D6=0,0,ROUND(D91*$J$63/$N$91,0))</f>
        <v>0</v>
      </c>
      <c r="E92" s="1">
        <f t="shared" si="33"/>
        <v>0</v>
      </c>
      <c r="F92" s="1">
        <f t="shared" si="33"/>
        <v>0</v>
      </c>
      <c r="G92" s="1">
        <f t="shared" ref="G92:M92" si="34">IF(SUM($C$6:$F$6)=0,$J$63*G91/SUM($G$91:$M$91),$J$63*G91/$N$91)</f>
        <v>1078.7681459975115</v>
      </c>
      <c r="H92" s="1">
        <f t="shared" si="34"/>
        <v>0</v>
      </c>
      <c r="I92" s="1">
        <f t="shared" si="34"/>
        <v>0</v>
      </c>
      <c r="J92" s="1">
        <f t="shared" si="34"/>
        <v>0</v>
      </c>
      <c r="K92" s="1">
        <f t="shared" si="34"/>
        <v>1486.2318540024885</v>
      </c>
      <c r="L92" s="1">
        <f t="shared" si="34"/>
        <v>0</v>
      </c>
      <c r="M92" s="1">
        <f t="shared" si="34"/>
        <v>0</v>
      </c>
    </row>
    <row r="93" spans="2:14" hidden="1">
      <c r="B93" s="15" t="s">
        <v>76</v>
      </c>
      <c r="C93" s="15">
        <f>IF(C92&gt;C6,C6,C92)</f>
        <v>0</v>
      </c>
      <c r="D93" s="15">
        <f t="shared" ref="D93:F93" si="35">IF(D92&gt;D6,D6,D92)</f>
        <v>0</v>
      </c>
      <c r="E93" s="15">
        <f t="shared" si="35"/>
        <v>0</v>
      </c>
      <c r="F93" s="15">
        <f t="shared" si="35"/>
        <v>0</v>
      </c>
      <c r="G93" s="1"/>
      <c r="H93" s="1"/>
      <c r="I93" s="1"/>
      <c r="J93" s="1"/>
      <c r="K93" s="1"/>
      <c r="L93" s="1"/>
      <c r="M93" s="1"/>
    </row>
    <row r="94" spans="2:14" hidden="1">
      <c r="B94" s="1"/>
      <c r="C94" s="22">
        <f>IF(SUM(C93:F93)=SUM(C6:F6),J63-SUM(C6:F6),J63-SUM(C93:F93))</f>
        <v>2565</v>
      </c>
      <c r="D94" s="1"/>
      <c r="E94" s="1"/>
      <c r="F94" s="1" t="s">
        <v>68</v>
      </c>
      <c r="G94" s="1">
        <f t="shared" ref="G94:M94" si="36">IF(G6=0,0,IF($C$94=$J$63,G92,$C$94*G91/SUM($G$91:$M$91)))</f>
        <v>1078.7681459975115</v>
      </c>
      <c r="H94" s="1">
        <f t="shared" si="36"/>
        <v>0</v>
      </c>
      <c r="I94" s="1">
        <f t="shared" si="36"/>
        <v>0</v>
      </c>
      <c r="J94" s="1">
        <f t="shared" si="36"/>
        <v>0</v>
      </c>
      <c r="K94" s="1">
        <f t="shared" si="36"/>
        <v>1486.2318540024885</v>
      </c>
      <c r="L94" s="1">
        <f t="shared" si="36"/>
        <v>0</v>
      </c>
      <c r="M94" s="1">
        <f t="shared" si="36"/>
        <v>0</v>
      </c>
    </row>
    <row r="95" spans="2:14" hidden="1">
      <c r="B95" s="1"/>
      <c r="C95" s="1"/>
      <c r="D95" s="1"/>
      <c r="E95" s="1"/>
      <c r="F95" s="1" t="s">
        <v>69</v>
      </c>
      <c r="G95" s="1">
        <f t="shared" ref="G95:M95" si="37">IF(G94&gt;G6,G6,ROUND(G94,0))</f>
        <v>1079</v>
      </c>
      <c r="H95" s="1">
        <f t="shared" si="37"/>
        <v>0</v>
      </c>
      <c r="I95" s="1">
        <f t="shared" si="37"/>
        <v>0</v>
      </c>
      <c r="J95" s="1">
        <f t="shared" si="37"/>
        <v>0</v>
      </c>
      <c r="K95" s="1">
        <f t="shared" si="37"/>
        <v>100</v>
      </c>
      <c r="L95" s="1">
        <f t="shared" si="37"/>
        <v>0</v>
      </c>
      <c r="M95" s="1">
        <f t="shared" si="37"/>
        <v>0</v>
      </c>
    </row>
    <row r="96" spans="2:14" hidden="1">
      <c r="B96" s="1"/>
      <c r="C96" s="1"/>
      <c r="D96" s="1"/>
      <c r="E96" s="1"/>
      <c r="F96" s="1" t="s">
        <v>65</v>
      </c>
      <c r="G96" s="16">
        <f t="shared" ref="G96:M96" si="38">IF(AND(G6=G95,G6&lt;&gt;0),1,0)</f>
        <v>0</v>
      </c>
      <c r="H96" s="16">
        <f t="shared" si="38"/>
        <v>0</v>
      </c>
      <c r="I96" s="16">
        <f t="shared" si="38"/>
        <v>0</v>
      </c>
      <c r="J96" s="16">
        <f t="shared" si="38"/>
        <v>0</v>
      </c>
      <c r="K96" s="16">
        <f t="shared" si="38"/>
        <v>1</v>
      </c>
      <c r="L96" s="16">
        <f t="shared" si="38"/>
        <v>0</v>
      </c>
      <c r="M96" s="16">
        <f t="shared" si="38"/>
        <v>0</v>
      </c>
    </row>
    <row r="97" spans="2:15" hidden="1">
      <c r="B97" s="1"/>
      <c r="C97" s="1"/>
      <c r="D97" s="15"/>
      <c r="E97" s="15"/>
      <c r="F97" s="15"/>
      <c r="G97" s="15">
        <f>IF(OR(G6=0,G96=1),2,K87)</f>
        <v>0.23347916186967535</v>
      </c>
      <c r="H97" s="15">
        <f>IF(OR(H6=0,H96=1),2,K87)</f>
        <v>2</v>
      </c>
      <c r="I97" s="15">
        <f>IF(OR(I6=0,I96=1),2,L87)</f>
        <v>2</v>
      </c>
      <c r="J97" s="15">
        <f>IF(OR(J6=0,J96=1),2,L87)</f>
        <v>2</v>
      </c>
      <c r="K97" s="15">
        <f>IF(OR(K6=0,K96=1),2,M87)</f>
        <v>2</v>
      </c>
      <c r="L97" s="15">
        <f>IF(OR(L6=0,L96=1),2,M87)</f>
        <v>2</v>
      </c>
      <c r="M97" s="15">
        <f>IF(OR(M6=0,M96=1),2,M87)</f>
        <v>2</v>
      </c>
      <c r="N97" s="25"/>
    </row>
    <row r="98" spans="2:15" hidden="1">
      <c r="B98" s="1"/>
      <c r="C98" s="1"/>
      <c r="D98" s="15"/>
      <c r="E98" s="15"/>
      <c r="F98" s="15"/>
      <c r="G98" s="48">
        <f>MIN(G97:H97)</f>
        <v>0.23347916186967535</v>
      </c>
      <c r="H98" s="49"/>
      <c r="I98" s="48">
        <f>MIN(I97:J97)</f>
        <v>2</v>
      </c>
      <c r="J98" s="49"/>
      <c r="K98" s="48">
        <f>MIN(K97:M97)</f>
        <v>2</v>
      </c>
      <c r="L98" s="50"/>
      <c r="M98" s="49"/>
      <c r="N98" s="25"/>
    </row>
    <row r="99" spans="2:15" hidden="1">
      <c r="B99" s="1"/>
      <c r="C99" s="1"/>
      <c r="D99" s="15"/>
      <c r="E99" s="15"/>
      <c r="F99" s="26" t="s">
        <v>70</v>
      </c>
      <c r="G99" s="15">
        <f>IF(G96=1,G94-G95,0)</f>
        <v>0</v>
      </c>
      <c r="H99" s="15">
        <f t="shared" ref="H99:M99" si="39">IF(H96=1,H94-H95,0)</f>
        <v>0</v>
      </c>
      <c r="I99" s="15">
        <f t="shared" si="39"/>
        <v>0</v>
      </c>
      <c r="J99" s="15">
        <f t="shared" si="39"/>
        <v>0</v>
      </c>
      <c r="K99" s="15">
        <f t="shared" si="39"/>
        <v>1386.2318540024885</v>
      </c>
      <c r="L99" s="15">
        <f t="shared" si="39"/>
        <v>0</v>
      </c>
      <c r="M99" s="15">
        <f t="shared" si="39"/>
        <v>0</v>
      </c>
      <c r="N99" s="25"/>
    </row>
    <row r="100" spans="2:15" hidden="1">
      <c r="B100" s="1"/>
      <c r="C100" s="1"/>
      <c r="D100" s="15"/>
      <c r="E100" s="15"/>
      <c r="F100" s="15" t="s">
        <v>67</v>
      </c>
      <c r="G100" s="15">
        <f>IF(AND(G$96&lt;&gt;1,$G$97&lt;$I$98,$G$97&lt;$K$98),ROUND(SUM($I$99:$M$99)*G91/($G$91+$H$91)+G94,0),G95)</f>
        <v>2465</v>
      </c>
      <c r="H100" s="15">
        <f>IF(AND(H$96&lt;&gt;1,$H$97&lt;$I$98,$H$97&lt;$K$98),ROUND(SUM($I$99:$M$99)*H91/($G$91+$H$91)+H94,0),H95)</f>
        <v>0</v>
      </c>
      <c r="I100" s="15">
        <f>IF(AND(I$96&lt;&gt;1,$I$97&lt;$G$98,$I$97&lt;$K$98),ROUND((SUM($G$99:$H$99)+SUM($K$99:$M$99))*I91/($I$91+$J$91)+I94,0),I95)</f>
        <v>0</v>
      </c>
      <c r="J100" s="15">
        <f>IF(AND(J$96&lt;&gt;1,$J$97&lt;$G$98,$J$97&lt;$K$98),ROUND((SUM($G$99:$H$99)+SUM($K$99:$M$99))*J91/($I$91+$J$91)+J94,0),J95)</f>
        <v>0</v>
      </c>
      <c r="K100" s="15">
        <f>IF(AND(K$96&lt;&gt;1,$K$97&lt;$I$98,$K$97&lt;$G$98),ROUND(SUM($G$99:$J$99)*K91/SUM($K$91:$M$91)+K94,0),K95)</f>
        <v>100</v>
      </c>
      <c r="L100" s="15">
        <f>IF(AND($L$96&lt;&gt;1,$L$97&lt;$I$98,$L$97&lt;$G$98),ROUND(SUM($G$99:$J$99)*L91/SUM($K$91:$M$91)+L94,0),L95)</f>
        <v>0</v>
      </c>
      <c r="M100" s="15">
        <f>IF(AND($M$96&lt;&gt;1,$M$97&lt;$I$98,$M$97&lt;$G$98),ROUND(SUM($G$99:$J$99)*M91/SUM($K$91:$M$91)+M94,0),M95)</f>
        <v>0</v>
      </c>
      <c r="N100" s="25"/>
      <c r="O100" s="8"/>
    </row>
    <row r="101" spans="2:15" hidden="1">
      <c r="B101" s="1"/>
      <c r="C101" s="1"/>
      <c r="D101" s="15"/>
      <c r="E101" s="15"/>
      <c r="F101" s="15" t="s">
        <v>66</v>
      </c>
      <c r="G101" s="15">
        <f t="shared" ref="G101:M101" si="40">IF(AND(G6&lt;&gt;0,G6&lt;=G100),1,0)</f>
        <v>0</v>
      </c>
      <c r="H101" s="15">
        <f t="shared" si="40"/>
        <v>0</v>
      </c>
      <c r="I101" s="15">
        <f t="shared" si="40"/>
        <v>0</v>
      </c>
      <c r="J101" s="15">
        <f t="shared" si="40"/>
        <v>0</v>
      </c>
      <c r="K101" s="15">
        <f t="shared" si="40"/>
        <v>1</v>
      </c>
      <c r="L101" s="15">
        <f t="shared" si="40"/>
        <v>0</v>
      </c>
      <c r="M101" s="15">
        <f t="shared" si="40"/>
        <v>0</v>
      </c>
      <c r="N101" s="25" t="s">
        <v>72</v>
      </c>
    </row>
    <row r="102" spans="2:15" hidden="1">
      <c r="B102" s="1"/>
      <c r="C102" s="1"/>
      <c r="D102" s="15"/>
      <c r="E102" s="15" t="s">
        <v>71</v>
      </c>
      <c r="F102" s="15">
        <f>SUM(G102:M102)</f>
        <v>2565</v>
      </c>
      <c r="G102" s="15">
        <f t="shared" ref="G102:M102" si="41">IF(G101=1,G6,G100)</f>
        <v>2465</v>
      </c>
      <c r="H102" s="15">
        <f t="shared" si="41"/>
        <v>0</v>
      </c>
      <c r="I102" s="15">
        <f t="shared" si="41"/>
        <v>0</v>
      </c>
      <c r="J102" s="15">
        <f t="shared" si="41"/>
        <v>0</v>
      </c>
      <c r="K102" s="15">
        <f t="shared" si="41"/>
        <v>100</v>
      </c>
      <c r="L102" s="15">
        <f t="shared" si="41"/>
        <v>0</v>
      </c>
      <c r="M102" s="15">
        <f t="shared" si="41"/>
        <v>0</v>
      </c>
      <c r="N102" s="25"/>
    </row>
    <row r="103" spans="2:15" hidden="1">
      <c r="B103" s="1"/>
      <c r="C103" s="1">
        <f>SUM(C91:F91)</f>
        <v>0</v>
      </c>
      <c r="D103" s="15"/>
      <c r="E103" s="15" t="s">
        <v>74</v>
      </c>
      <c r="F103" s="15">
        <f>IF(ABS(C94-F102)&gt;=3,1,0)</f>
        <v>0</v>
      </c>
      <c r="G103" s="15">
        <f>IF(OR(G101=1,$F$103=0,G102=0),G102,ROUND(G102+($C$94-$F$102)*G91/($G$91+$H$91),0))</f>
        <v>2465</v>
      </c>
      <c r="H103" s="15">
        <f>IF(OR(H101=1,$F$103=0,H102=0),H102,ROUND(H102+($C$94-$F$102)*H91/($G$91+$H$91),0))</f>
        <v>0</v>
      </c>
      <c r="I103" s="15">
        <f>IF(OR(I101=1,$F$103=0,I102=0),I102,ROUND(I102+($C$94-$F$102)*I91/($I$91+$J$91),0))</f>
        <v>0</v>
      </c>
      <c r="J103" s="15">
        <f>IF(OR(J101=1,$F$103=0,J102=0),J102,ROUND(J102+($C$94-$F$102)*J91/($I$91+$J$91),0))</f>
        <v>0</v>
      </c>
      <c r="K103" s="15">
        <f>IF(OR(K101=1,$F$103=0,K102=0),K102,ROUND(K102+($C$94-$F$102)*K91/SUM($K$91:$M$91),0))</f>
        <v>100</v>
      </c>
      <c r="L103" s="15">
        <f>IF(OR(L101=1,$F$103=0,L102=0),L102,ROUND(L102+($C$94-$F$102)*L91/SUM($K$91:$M$91),0))</f>
        <v>0</v>
      </c>
      <c r="M103" s="15">
        <f>IF(OR(M101=1,$F$103=0,M102=0),M102,ROUND(M102+($C$94-$F$102)*M91/SUM($K$91:$M$91),0))</f>
        <v>0</v>
      </c>
      <c r="N103" s="25"/>
    </row>
    <row r="104" spans="2:15" hidden="1">
      <c r="B104" s="1"/>
      <c r="C104" s="1">
        <f>IF(C94-SUM(G104:M104)&gt;=3,C94-SUM(G104:M104),0)</f>
        <v>0</v>
      </c>
      <c r="D104" s="15">
        <f>IF(C104&lt;&gt;0,1,0)</f>
        <v>0</v>
      </c>
      <c r="E104" s="15"/>
      <c r="F104" s="20" t="s">
        <v>75</v>
      </c>
      <c r="G104" s="20">
        <f>IF(G103&gt;=G6,G6,G103)</f>
        <v>2465</v>
      </c>
      <c r="H104" s="20">
        <f t="shared" ref="H104:M104" si="42">IF(H103&gt;=H6,H6,H103)</f>
        <v>0</v>
      </c>
      <c r="I104" s="20">
        <f t="shared" si="42"/>
        <v>0</v>
      </c>
      <c r="J104" s="20">
        <f t="shared" si="42"/>
        <v>0</v>
      </c>
      <c r="K104" s="20">
        <f t="shared" si="42"/>
        <v>100</v>
      </c>
      <c r="L104" s="20">
        <f t="shared" si="42"/>
        <v>0</v>
      </c>
      <c r="M104" s="20">
        <f t="shared" si="42"/>
        <v>0</v>
      </c>
      <c r="N104" s="25"/>
    </row>
    <row r="105" spans="2:15" hidden="1">
      <c r="B105" s="1" t="s">
        <v>77</v>
      </c>
      <c r="C105" s="32">
        <f>IF($D$104=1,ROUND(C93+$C$104*C91/$C$103,0),C93)</f>
        <v>0</v>
      </c>
      <c r="D105" s="32">
        <f t="shared" ref="D105:F105" si="43">IF($D$104=1,ROUND(D93+$C$104*D91/$C$103,0),D93)</f>
        <v>0</v>
      </c>
      <c r="E105" s="32">
        <f t="shared" si="43"/>
        <v>0</v>
      </c>
      <c r="F105" s="32">
        <f t="shared" si="43"/>
        <v>0</v>
      </c>
      <c r="G105" s="15"/>
      <c r="H105" s="15"/>
      <c r="I105" s="15"/>
      <c r="J105" s="15"/>
      <c r="K105" s="15"/>
      <c r="L105" s="15"/>
      <c r="M105" s="15"/>
      <c r="N105" s="25"/>
    </row>
    <row r="106" spans="2:15" hidden="1">
      <c r="B106" s="8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25"/>
    </row>
    <row r="107" spans="2:15" hidden="1">
      <c r="B107" s="8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25"/>
    </row>
    <row r="108" spans="2:15" hidden="1"/>
    <row r="109" spans="2:15" hidden="1">
      <c r="B109" s="1" t="s">
        <v>43</v>
      </c>
      <c r="C109" s="36" t="s">
        <v>1</v>
      </c>
      <c r="D109" s="36"/>
      <c r="E109" s="36"/>
      <c r="F109" s="36"/>
      <c r="G109" s="36" t="s">
        <v>6</v>
      </c>
      <c r="H109" s="36"/>
      <c r="I109" s="36" t="s">
        <v>9</v>
      </c>
      <c r="J109" s="36"/>
      <c r="K109" s="36" t="s">
        <v>12</v>
      </c>
      <c r="L109" s="36"/>
      <c r="M109" s="36"/>
    </row>
    <row r="110" spans="2:15" hidden="1">
      <c r="B110" s="1" t="s">
        <v>16</v>
      </c>
      <c r="C110" s="1" t="s">
        <v>2</v>
      </c>
      <c r="D110" s="1" t="s">
        <v>3</v>
      </c>
      <c r="E110" s="1" t="s">
        <v>4</v>
      </c>
      <c r="F110" s="1" t="s">
        <v>5</v>
      </c>
      <c r="G110" s="1" t="s">
        <v>7</v>
      </c>
      <c r="H110" s="1" t="s">
        <v>8</v>
      </c>
      <c r="I110" s="1" t="s">
        <v>10</v>
      </c>
      <c r="J110" s="1" t="s">
        <v>11</v>
      </c>
      <c r="K110" s="1" t="s">
        <v>13</v>
      </c>
      <c r="L110" s="1" t="s">
        <v>14</v>
      </c>
      <c r="M110" s="1" t="s">
        <v>15</v>
      </c>
    </row>
    <row r="111" spans="2:15" hidden="1">
      <c r="B111" s="1" t="s">
        <v>64</v>
      </c>
      <c r="C111" s="1">
        <f>IF(SUM($C$13:$F$13)=0,0,$D$86/$H$86*C13/SUM($C$13:$F$13))</f>
        <v>0.36579480992838626</v>
      </c>
      <c r="D111" s="1">
        <f t="shared" ref="D111:F111" si="44">IF(SUM($C$13:$F$13)=0,0,$D$86/$H$86*D13/SUM($C$13:$F$13))</f>
        <v>0</v>
      </c>
      <c r="E111" s="1">
        <f t="shared" si="44"/>
        <v>0</v>
      </c>
      <c r="F111" s="1">
        <f t="shared" si="44"/>
        <v>0</v>
      </c>
      <c r="G111" s="1">
        <f>IF(G13&lt;&gt;0,$E$86/$H$86*G13/($G$13+$H$13),0)</f>
        <v>0.26622859929669651</v>
      </c>
      <c r="H111" s="1">
        <f t="shared" ref="H111" si="45">IF(H13&lt;&gt;0,$E$86/$H$86*H13/($G$13+$H$13),0)</f>
        <v>0</v>
      </c>
      <c r="I111" s="1">
        <f>IF(I13&lt;&gt;0,$F$86/$H$86*I13/($I$13+$J$13),0)</f>
        <v>3.2127792465583477E-2</v>
      </c>
      <c r="J111" s="1">
        <f>IF(J13&lt;&gt;0,$F$86/$H$86*J13/($I$13+$J$13),0)</f>
        <v>0.16063896232791738</v>
      </c>
      <c r="K111" s="1">
        <f>IF(K13&lt;&gt;0,$G$86/$H$86*K13/SUM($K$13:$M$13),0)</f>
        <v>0.17520983598141637</v>
      </c>
      <c r="L111" s="1">
        <f t="shared" ref="L111:M111" si="46">IF(L13&lt;&gt;0,$G$86/$H$86*L13/SUM($K$13:$M$13),0)</f>
        <v>0</v>
      </c>
      <c r="M111" s="1">
        <f t="shared" si="46"/>
        <v>0</v>
      </c>
      <c r="N111">
        <f>SUM(C111:M111)</f>
        <v>1</v>
      </c>
    </row>
    <row r="112" spans="2:15" hidden="1">
      <c r="B112" s="1" t="s">
        <v>18</v>
      </c>
      <c r="C112" s="1">
        <f>IF(C13=0,0,ROUND(C111*$K$63/$N$111,0))</f>
        <v>587</v>
      </c>
      <c r="D112" s="1">
        <f t="shared" ref="D112:F112" si="47">IF(D13=0,0,ROUND(D111*$K$63/$N$111,0))</f>
        <v>0</v>
      </c>
      <c r="E112" s="1">
        <f t="shared" si="47"/>
        <v>0</v>
      </c>
      <c r="F112" s="1">
        <f t="shared" si="47"/>
        <v>0</v>
      </c>
      <c r="G112" s="1">
        <f t="shared" ref="G112:M112" si="48">IF(SUM($C$13:$F$13)=0,$K$63*G111/SUM($G$111:$M$111),$K$63*G111/$N$111)</f>
        <v>427.3670592260608</v>
      </c>
      <c r="H112" s="1">
        <f t="shared" si="48"/>
        <v>0</v>
      </c>
      <c r="I112" s="1">
        <f t="shared" si="48"/>
        <v>51.573573318995322</v>
      </c>
      <c r="J112" s="1">
        <f t="shared" si="48"/>
        <v>257.86786659497665</v>
      </c>
      <c r="K112" s="1">
        <f t="shared" si="48"/>
        <v>281.25795856894445</v>
      </c>
      <c r="L112" s="1">
        <f t="shared" si="48"/>
        <v>0</v>
      </c>
      <c r="M112" s="1">
        <f t="shared" si="48"/>
        <v>0</v>
      </c>
    </row>
    <row r="113" spans="2:13" hidden="1">
      <c r="B113" s="1" t="s">
        <v>80</v>
      </c>
      <c r="C113" s="1">
        <f>IF(C112&gt;C13,C13,C112)</f>
        <v>587</v>
      </c>
      <c r="D113" s="1">
        <f>IF(D112&gt;D13,D13,D112)</f>
        <v>0</v>
      </c>
      <c r="E113" s="1">
        <f>IF(E112&gt;E13,E13,E112)</f>
        <v>0</v>
      </c>
      <c r="F113" s="1">
        <f>IF(F112&gt;F13,F13,F112)</f>
        <v>0</v>
      </c>
      <c r="G113" s="1"/>
      <c r="H113" s="1"/>
      <c r="I113" s="1"/>
      <c r="J113" s="1"/>
      <c r="K113" s="1"/>
      <c r="L113" s="1"/>
      <c r="M113" s="1"/>
    </row>
    <row r="114" spans="2:13" hidden="1">
      <c r="B114" s="1"/>
      <c r="C114" s="1">
        <f>IF(SUM(C113:F113)=SUM(C13:F13),K63-SUM(C13:F13),K63-SUM(C113:F113))</f>
        <v>1018.2635229838127</v>
      </c>
      <c r="D114" s="1"/>
      <c r="E114" s="1"/>
      <c r="F114" s="1" t="s">
        <v>68</v>
      </c>
      <c r="G114" s="1">
        <f t="shared" ref="G114:M114" si="49">IF(G13=0,0,IF($C$114=$K$63,G112,$C$114*G111/SUM($G$111:$M$111)))</f>
        <v>427.44978389137538</v>
      </c>
      <c r="H114" s="1">
        <f t="shared" si="49"/>
        <v>0</v>
      </c>
      <c r="I114" s="1">
        <f t="shared" si="49"/>
        <v>51.583556321895962</v>
      </c>
      <c r="J114" s="1">
        <f t="shared" si="49"/>
        <v>257.91778160947979</v>
      </c>
      <c r="K114" s="1">
        <f t="shared" si="49"/>
        <v>281.31240116106142</v>
      </c>
      <c r="L114" s="1">
        <f t="shared" si="49"/>
        <v>0</v>
      </c>
      <c r="M114" s="1">
        <f t="shared" si="49"/>
        <v>0</v>
      </c>
    </row>
    <row r="115" spans="2:13" hidden="1">
      <c r="B115" s="1"/>
      <c r="C115" s="1"/>
      <c r="D115" s="1"/>
      <c r="E115" s="1"/>
      <c r="F115" s="1" t="s">
        <v>69</v>
      </c>
      <c r="G115" s="1">
        <f t="shared" ref="G115:M115" si="50">IF(G114&gt;G13,G13,ROUND(G114,0))</f>
        <v>427</v>
      </c>
      <c r="H115" s="1">
        <f t="shared" si="50"/>
        <v>0</v>
      </c>
      <c r="I115" s="1">
        <f t="shared" si="50"/>
        <v>52</v>
      </c>
      <c r="J115" s="1">
        <f t="shared" si="50"/>
        <v>258</v>
      </c>
      <c r="K115" s="1">
        <f t="shared" si="50"/>
        <v>30</v>
      </c>
      <c r="L115" s="1">
        <f t="shared" si="50"/>
        <v>0</v>
      </c>
      <c r="M115" s="1">
        <f t="shared" si="50"/>
        <v>0</v>
      </c>
    </row>
    <row r="116" spans="2:13" hidden="1">
      <c r="B116" s="1"/>
      <c r="C116" s="1"/>
      <c r="D116" s="1"/>
      <c r="E116" s="1"/>
      <c r="F116" s="1" t="s">
        <v>65</v>
      </c>
      <c r="G116" s="1">
        <f t="shared" ref="G116:M116" si="51">IF(AND(G13=G115,G13&lt;&gt;0),1,0)</f>
        <v>0</v>
      </c>
      <c r="H116" s="1">
        <f t="shared" si="51"/>
        <v>0</v>
      </c>
      <c r="I116" s="1">
        <f t="shared" si="51"/>
        <v>0</v>
      </c>
      <c r="J116" s="1">
        <f t="shared" si="51"/>
        <v>0</v>
      </c>
      <c r="K116" s="1">
        <f t="shared" si="51"/>
        <v>1</v>
      </c>
      <c r="L116" s="1">
        <f t="shared" si="51"/>
        <v>0</v>
      </c>
      <c r="M116" s="1">
        <f t="shared" si="51"/>
        <v>0</v>
      </c>
    </row>
    <row r="117" spans="2:13" hidden="1">
      <c r="B117" s="1"/>
      <c r="C117" s="1"/>
      <c r="D117" s="1"/>
      <c r="E117" s="1"/>
      <c r="F117" s="1"/>
      <c r="G117" s="1">
        <f>IF(OR(G13=0,G116=1),2,E87)</f>
        <v>0.26622859929669651</v>
      </c>
      <c r="H117" s="1">
        <f>IF(OR(H13=0,H116=1),2,E87)</f>
        <v>2</v>
      </c>
      <c r="I117" s="1">
        <f>IF(OR(I13=0,I116=1),2,F87)</f>
        <v>0.19276675479350086</v>
      </c>
      <c r="J117" s="1">
        <f>IF(OR(J13=0,J116=1),2,F87)</f>
        <v>0.19276675479350086</v>
      </c>
      <c r="K117" s="1">
        <f>IF(OR(K13=0,K116=1),2,G87)</f>
        <v>2</v>
      </c>
      <c r="L117" s="1">
        <f>IF(OR(L13=0,L116=1),2,G87)</f>
        <v>2</v>
      </c>
      <c r="M117" s="1">
        <f>IF(OR(M13=0,M116=1),2,G87)</f>
        <v>2</v>
      </c>
    </row>
    <row r="118" spans="2:13" hidden="1">
      <c r="B118" s="1"/>
      <c r="C118" s="1"/>
      <c r="D118" s="1"/>
      <c r="E118" s="1"/>
      <c r="F118" s="1"/>
      <c r="G118" s="36">
        <f>MIN(G117:H117)</f>
        <v>0.26622859929669651</v>
      </c>
      <c r="H118" s="36"/>
      <c r="I118" s="36">
        <f>MIN(I117:J117)</f>
        <v>0.19276675479350086</v>
      </c>
      <c r="J118" s="36"/>
      <c r="K118" s="36">
        <f>MIN(K117:M117)</f>
        <v>2</v>
      </c>
      <c r="L118" s="36"/>
      <c r="M118" s="36"/>
    </row>
    <row r="119" spans="2:13" hidden="1">
      <c r="B119" s="1"/>
      <c r="C119" s="1"/>
      <c r="D119" s="1"/>
      <c r="E119" s="1"/>
      <c r="F119" s="21" t="s">
        <v>70</v>
      </c>
      <c r="G119" s="1">
        <f>IF(G116=1,G114-G115,0)</f>
        <v>0</v>
      </c>
      <c r="H119" s="1">
        <f t="shared" ref="H119:M119" si="52">IF(H116=1,H114-H115,0)</f>
        <v>0</v>
      </c>
      <c r="I119" s="1">
        <f t="shared" si="52"/>
        <v>0</v>
      </c>
      <c r="J119" s="1">
        <f t="shared" si="52"/>
        <v>0</v>
      </c>
      <c r="K119" s="1">
        <f t="shared" si="52"/>
        <v>251.31240116106142</v>
      </c>
      <c r="L119" s="1">
        <f t="shared" si="52"/>
        <v>0</v>
      </c>
      <c r="M119" s="1">
        <f t="shared" si="52"/>
        <v>0</v>
      </c>
    </row>
    <row r="120" spans="2:13" hidden="1">
      <c r="B120" s="1"/>
      <c r="C120" s="1"/>
      <c r="D120" s="1"/>
      <c r="E120" s="1"/>
      <c r="F120" s="1" t="s">
        <v>67</v>
      </c>
      <c r="G120" s="1">
        <f>IF(AND(G$116&lt;&gt;1,$G$117&lt;$I$118,$G$117&lt;$K$118),ROUND(SUM($I$119:$M$119)*G111/($G$111+$H$111)+G114,0),G115)</f>
        <v>427</v>
      </c>
      <c r="H120" s="1">
        <f>IF(AND(H$116&lt;&gt;1,$H$117&lt;$I$118,$H$117&lt;$K$118),ROUND(SUM($I$119:$M$119)*H111/($G$111+$H$111)+H114,0),H115)</f>
        <v>0</v>
      </c>
      <c r="I120" s="1">
        <f>IF(AND(I$116&lt;&gt;1,$I$117&lt;$G$118,$I$117&lt;$K$118),ROUND((SUM($G$119:$H$119)+SUM($K$119:$M$119))*I111/($I$111+$J$111)+I114,0),I115)</f>
        <v>93</v>
      </c>
      <c r="J120" s="1">
        <f>IF(AND(J$116&lt;&gt;1,$J$117&lt;$G$118,$J$117&lt;$K$118),ROUND((SUM($G$119:$H$119)+SUM($K$119:$M$119))*J111/($I$111+$J$111)+J114,0),J115)</f>
        <v>467</v>
      </c>
      <c r="K120" s="1">
        <f>IF(AND(K$116&lt;&gt;1,$K$117&lt;$I$118,$K$117&lt;$G$118),ROUND(SUM($G$119:$J$119)*K111/SUM($K$111:$M$111)+K114,0),K115)</f>
        <v>30</v>
      </c>
      <c r="L120" s="1">
        <f>IF(AND($L$116&lt;&gt;1,$L$117&lt;$I$118,$L$117&lt;$G$118),ROUND(SUM($G$119:$J$119)*L111/SUM($K$111:$M$111)+L114,0),L115)</f>
        <v>0</v>
      </c>
      <c r="M120" s="1">
        <f>IF(AND($M$116&lt;&gt;1,$M$117&lt;$I$118,$M$117&lt;$G$118),ROUND(SUM($G$119:$J$119)*M111/SUM($K$111:$M$111)+M114,0),M115)</f>
        <v>0</v>
      </c>
    </row>
    <row r="121" spans="2:13" hidden="1">
      <c r="B121" s="1"/>
      <c r="C121" s="1"/>
      <c r="D121" s="1"/>
      <c r="E121" s="1"/>
      <c r="F121" s="1" t="s">
        <v>66</v>
      </c>
      <c r="G121" s="1">
        <f t="shared" ref="G121:M121" si="53">IF(AND(G13&lt;&gt;0,G13&lt;=G120),1,0)</f>
        <v>0</v>
      </c>
      <c r="H121" s="1">
        <f t="shared" si="53"/>
        <v>0</v>
      </c>
      <c r="I121" s="1">
        <f t="shared" si="53"/>
        <v>0</v>
      </c>
      <c r="J121" s="1">
        <f t="shared" si="53"/>
        <v>0</v>
      </c>
      <c r="K121" s="1">
        <f t="shared" si="53"/>
        <v>1</v>
      </c>
      <c r="L121" s="1">
        <f t="shared" si="53"/>
        <v>0</v>
      </c>
      <c r="M121" s="1">
        <f t="shared" si="53"/>
        <v>0</v>
      </c>
    </row>
    <row r="122" spans="2:13" hidden="1">
      <c r="B122" s="1"/>
      <c r="C122" s="1"/>
      <c r="D122" s="1"/>
      <c r="E122" s="1" t="s">
        <v>84</v>
      </c>
      <c r="F122" s="1">
        <f>SUM(G122:M122)</f>
        <v>1017</v>
      </c>
      <c r="G122" s="1">
        <f t="shared" ref="G122:M122" si="54">IF(G121=1,G13,G120)</f>
        <v>427</v>
      </c>
      <c r="H122" s="1">
        <f t="shared" si="54"/>
        <v>0</v>
      </c>
      <c r="I122" s="1">
        <f t="shared" si="54"/>
        <v>93</v>
      </c>
      <c r="J122" s="1">
        <f t="shared" si="54"/>
        <v>467</v>
      </c>
      <c r="K122" s="1">
        <f t="shared" si="54"/>
        <v>30</v>
      </c>
      <c r="L122" s="1">
        <f t="shared" si="54"/>
        <v>0</v>
      </c>
      <c r="M122" s="1">
        <f t="shared" si="54"/>
        <v>0</v>
      </c>
    </row>
    <row r="123" spans="2:13" hidden="1">
      <c r="B123" s="1"/>
      <c r="C123" s="1">
        <f>SUM(C111:F111)</f>
        <v>0.36579480992838626</v>
      </c>
      <c r="D123" s="1"/>
      <c r="E123" s="1" t="s">
        <v>74</v>
      </c>
      <c r="F123" s="1">
        <f>IF(ABS(C114-F122)&gt;=3,1,0)</f>
        <v>0</v>
      </c>
      <c r="G123" s="1">
        <f>IF(OR(G121=1,$F$123=0,G122=0),G122,ROUND(G122+($C$114-$F$122)*G111/($G$111+$H$111),0))</f>
        <v>427</v>
      </c>
      <c r="H123" s="1">
        <f>IF(OR(H121=1,$F$123=0,H122=0),H122,ROUND(H122+($C$114-$F$122)*H111/($G$111+$H$111),0))</f>
        <v>0</v>
      </c>
      <c r="I123" s="1">
        <f>IF(OR(I121=1,$F$123=0,I122=0),I122,ROUND(I122+($C$114-$F$122)*I111/($I$111+$J$111),0))</f>
        <v>93</v>
      </c>
      <c r="J123" s="1">
        <f>IF(OR(J121=1,$F$123=0,J122=0),J122,ROUND(J122+($C$114-$F$122)*J111/($I$111+$J$111),0))</f>
        <v>467</v>
      </c>
      <c r="K123" s="1">
        <f>IF(OR(K121=1,$F$123=0,K122=0),K122,ROUND(K122+($C$114-$F$122)*K111/SUM($K$111:$M$111),0))</f>
        <v>30</v>
      </c>
      <c r="L123" s="1">
        <f>IF(OR(L121=1,$F$123=0,L122=0),L122,ROUND(L122+($C$114-$F$122)*L111/SUM($K$111:$M$111),0))</f>
        <v>0</v>
      </c>
      <c r="M123" s="1">
        <f>IF(OR(M121=1,$F$123=0,M122=0),M122,ROUND(M122+($C$114-$F$122)*M111/SUM($K$111:$M$111),0))</f>
        <v>0</v>
      </c>
    </row>
    <row r="124" spans="2:13" hidden="1">
      <c r="B124" s="1"/>
      <c r="C124" s="1">
        <f>IF(C114-SUM(G124:M124)&gt;=3,C114-SUM(G124:M124),0)</f>
        <v>0</v>
      </c>
      <c r="D124" s="1">
        <f>IF(C124&lt;&gt;0,1,0)</f>
        <v>0</v>
      </c>
      <c r="E124" s="1"/>
      <c r="F124" s="20" t="s">
        <v>75</v>
      </c>
      <c r="G124" s="20">
        <f t="shared" ref="G124:M124" si="55">IF(G123&gt;=G13,G13,G123)</f>
        <v>427</v>
      </c>
      <c r="H124" s="20">
        <f t="shared" si="55"/>
        <v>0</v>
      </c>
      <c r="I124" s="20">
        <f t="shared" si="55"/>
        <v>93</v>
      </c>
      <c r="J124" s="20">
        <f t="shared" si="55"/>
        <v>467</v>
      </c>
      <c r="K124" s="20">
        <f t="shared" si="55"/>
        <v>30</v>
      </c>
      <c r="L124" s="20">
        <f t="shared" si="55"/>
        <v>0</v>
      </c>
      <c r="M124" s="20">
        <f t="shared" si="55"/>
        <v>0</v>
      </c>
    </row>
    <row r="125" spans="2:13" hidden="1">
      <c r="B125" s="32" t="s">
        <v>77</v>
      </c>
      <c r="C125" s="32">
        <f>IF($D$124=1,ROUND(C113+$C$124*C111/$C$123,0),C113)</f>
        <v>587</v>
      </c>
      <c r="D125" s="32">
        <f t="shared" ref="D125:F125" si="56">IF($D$124=1,ROUND(D113+$C$124*D111/$C$123,0),D113)</f>
        <v>0</v>
      </c>
      <c r="E125" s="32">
        <f t="shared" si="56"/>
        <v>0</v>
      </c>
      <c r="F125" s="32">
        <f t="shared" si="56"/>
        <v>0</v>
      </c>
      <c r="G125" s="1"/>
      <c r="H125" s="1"/>
      <c r="I125" s="1"/>
      <c r="J125" s="1"/>
      <c r="K125" s="1"/>
      <c r="L125" s="1"/>
      <c r="M125" s="1"/>
    </row>
    <row r="126" spans="2:13" hidden="1"/>
    <row r="127" spans="2:13" hidden="1"/>
  </sheetData>
  <sheetProtection password="8511" sheet="1" objects="1" scenarios="1"/>
  <protectedRanges>
    <protectedRange sqref="C6:M6 C13:M13 C18:C21 F19:F24 F26:F34 J18:J19 M19:M24 M26:M34" name="範囲1"/>
  </protectedRanges>
  <mergeCells count="36">
    <mergeCell ref="E17:F17"/>
    <mergeCell ref="C4:F4"/>
    <mergeCell ref="G4:H4"/>
    <mergeCell ref="I4:J4"/>
    <mergeCell ref="K4:M4"/>
    <mergeCell ref="C11:F11"/>
    <mergeCell ref="G11:H11"/>
    <mergeCell ref="I11:J11"/>
    <mergeCell ref="K11:M11"/>
    <mergeCell ref="E25:F25"/>
    <mergeCell ref="H25:H26"/>
    <mergeCell ref="I25:J26"/>
    <mergeCell ref="L25:M25"/>
    <mergeCell ref="G98:H98"/>
    <mergeCell ref="I98:J98"/>
    <mergeCell ref="K98:M98"/>
    <mergeCell ref="C89:F89"/>
    <mergeCell ref="G89:H89"/>
    <mergeCell ref="I89:J89"/>
    <mergeCell ref="K89:M89"/>
    <mergeCell ref="G118:H118"/>
    <mergeCell ref="I118:J118"/>
    <mergeCell ref="K118:M118"/>
    <mergeCell ref="A1:N2"/>
    <mergeCell ref="C109:F109"/>
    <mergeCell ref="G109:H109"/>
    <mergeCell ref="I109:J109"/>
    <mergeCell ref="K109:M109"/>
    <mergeCell ref="H27:H28"/>
    <mergeCell ref="I27:J28"/>
    <mergeCell ref="I40:J40"/>
    <mergeCell ref="L40:M40"/>
    <mergeCell ref="C71:D71"/>
    <mergeCell ref="L17:M17"/>
    <mergeCell ref="E18:F18"/>
    <mergeCell ref="L18:M18"/>
  </mergeCells>
  <phoneticPr fontId="1"/>
  <dataValidations count="3">
    <dataValidation type="list" allowBlank="1" showInputMessage="1" showErrorMessage="1" sqref="J18">
      <formula1>"0,0.2,0.4,0.6,1,2"</formula1>
    </dataValidation>
    <dataValidation type="list" allowBlank="1" showInputMessage="1" showErrorMessage="1" sqref="C21 J19">
      <formula1>"あり,なし"</formula1>
    </dataValidation>
    <dataValidation type="list" allowBlank="1" showInputMessage="1" showErrorMessage="1" sqref="C19">
      <formula1>"歩兵,槍,弓,馬"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殲滅戦</vt:lpstr>
      <vt:lpstr>強襲戦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4D</dc:creator>
  <cp:lastModifiedBy>澤村恒治</cp:lastModifiedBy>
  <dcterms:created xsi:type="dcterms:W3CDTF">2010-11-16T19:16:10Z</dcterms:created>
  <dcterms:modified xsi:type="dcterms:W3CDTF">2010-11-21T18:33:21Z</dcterms:modified>
</cp:coreProperties>
</file>